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256" windowHeight="12588"/>
  </bookViews>
  <sheets>
    <sheet name="Erfassung" sheetId="1" r:id="rId1"/>
    <sheet name="Einnahmen" sheetId="7" r:id="rId2"/>
    <sheet name="Unterstützung" sheetId="3" r:id="rId3"/>
    <sheet name="Auszahlung und Buchung" sheetId="4" r:id="rId4"/>
    <sheet name="Übersicht KVG" sheetId="5" r:id="rId5"/>
    <sheet name="Gefestigte LG" sheetId="6" r:id="rId6"/>
    <sheet name="Rechnen" sheetId="2" r:id="rId7"/>
  </sheets>
  <calcPr calcId="145621"/>
</workbook>
</file>

<file path=xl/calcChain.xml><?xml version="1.0" encoding="utf-8"?>
<calcChain xmlns="http://schemas.openxmlformats.org/spreadsheetml/2006/main">
  <c r="O4" i="2" l="1"/>
  <c r="T4" i="2" s="1"/>
  <c r="M7" i="1" s="1"/>
  <c r="AY6" i="6" l="1"/>
  <c r="AY7" i="6"/>
  <c r="AY8" i="6"/>
  <c r="AY9" i="6"/>
  <c r="AY10" i="6"/>
  <c r="AY11" i="6"/>
  <c r="AY12" i="6"/>
  <c r="AY13" i="6"/>
  <c r="AY14" i="6"/>
  <c r="AY15" i="6"/>
  <c r="AY16" i="6"/>
  <c r="BH14" i="1" l="1"/>
  <c r="X15" i="2" l="1"/>
  <c r="X16" i="2"/>
  <c r="X17" i="2" s="1"/>
  <c r="X18" i="2" s="1"/>
  <c r="X19" i="2" s="1"/>
  <c r="X14" i="2"/>
  <c r="X13" i="2"/>
  <c r="Y62" i="4" l="1"/>
  <c r="BC33" i="4" l="1"/>
  <c r="BB33" i="4"/>
  <c r="BM4" i="4" l="1"/>
  <c r="BM6" i="4"/>
  <c r="BM8" i="4"/>
  <c r="BM10" i="4"/>
  <c r="BM12" i="4"/>
  <c r="BM14" i="4"/>
  <c r="BM5" i="4"/>
  <c r="BM7" i="4"/>
  <c r="BM9" i="4"/>
  <c r="BM11" i="4"/>
  <c r="BM13" i="4"/>
  <c r="BM3" i="4"/>
  <c r="BD33" i="4"/>
  <c r="S83" i="4"/>
  <c r="R83" i="4"/>
  <c r="D60" i="2" l="1"/>
  <c r="W16" i="1" l="1"/>
  <c r="W18" i="1"/>
  <c r="W19" i="1"/>
  <c r="W20" i="1"/>
  <c r="W21" i="1"/>
  <c r="W22" i="1"/>
  <c r="W23" i="1"/>
  <c r="W24" i="1"/>
  <c r="V14" i="1"/>
  <c r="W14" i="1" s="1"/>
  <c r="V15" i="1"/>
  <c r="W15" i="1" s="1"/>
  <c r="V16" i="1"/>
  <c r="V17" i="1"/>
  <c r="W17" i="1" s="1"/>
  <c r="V18" i="1"/>
  <c r="V19" i="1"/>
  <c r="V20" i="1"/>
  <c r="V21" i="1"/>
  <c r="V22" i="1"/>
  <c r="V23" i="1"/>
  <c r="V24" i="1"/>
  <c r="V13" i="1"/>
  <c r="W13" i="1" s="1"/>
  <c r="BM52" i="6" l="1"/>
  <c r="BO52" i="6" s="1"/>
  <c r="BL52" i="6"/>
  <c r="BN52" i="6" s="1"/>
  <c r="X9" i="1" l="1"/>
  <c r="J37" i="1" l="1"/>
  <c r="C25" i="1" l="1"/>
  <c r="O25" i="1"/>
  <c r="D25" i="1"/>
  <c r="AC8" i="2"/>
  <c r="AC9" i="2"/>
  <c r="AC7" i="2"/>
  <c r="AQ14" i="1" l="1"/>
  <c r="AQ15" i="1"/>
  <c r="AQ16" i="1"/>
  <c r="AQ17" i="1"/>
  <c r="AQ18" i="1"/>
  <c r="AQ19" i="1"/>
  <c r="AQ20" i="1"/>
  <c r="AQ21" i="1"/>
  <c r="AQ22" i="1"/>
  <c r="AQ23" i="1"/>
  <c r="AQ24" i="1"/>
  <c r="AQ13" i="1"/>
  <c r="X13" i="1"/>
  <c r="G26" i="2"/>
  <c r="Z38" i="2" s="1"/>
  <c r="X15" i="1"/>
  <c r="X8" i="1"/>
  <c r="N25" i="1"/>
  <c r="E67" i="2" s="1"/>
  <c r="N25" i="2" l="1"/>
  <c r="X24" i="1"/>
  <c r="X22" i="1"/>
  <c r="X20" i="1"/>
  <c r="X18" i="1"/>
  <c r="X16" i="1"/>
  <c r="X14" i="1"/>
  <c r="X23" i="1"/>
  <c r="X21" i="1"/>
  <c r="X19" i="1"/>
  <c r="X17" i="1"/>
  <c r="AQ25" i="1"/>
  <c r="P5" i="1"/>
  <c r="BQ3" i="6" s="1"/>
  <c r="X25" i="1" l="1"/>
  <c r="M25" i="2" s="1"/>
  <c r="Q14" i="2"/>
  <c r="Q15" i="2"/>
  <c r="Q16" i="2"/>
  <c r="Q17" i="2"/>
  <c r="Q18" i="2"/>
  <c r="Q19" i="2"/>
  <c r="Q13" i="2"/>
  <c r="AC34" i="1" l="1"/>
  <c r="AC37" i="1" s="1"/>
  <c r="X45" i="1"/>
  <c r="G25" i="1"/>
  <c r="H25" i="1"/>
  <c r="I25" i="1"/>
  <c r="J25" i="1"/>
  <c r="F25" i="1"/>
  <c r="Z35" i="1"/>
  <c r="Z36" i="1" s="1"/>
  <c r="X39" i="1"/>
  <c r="X37" i="1"/>
  <c r="X36" i="1"/>
  <c r="X35" i="1"/>
  <c r="X44" i="1" l="1"/>
  <c r="X41" i="1"/>
  <c r="X43" i="1"/>
  <c r="X42" i="1"/>
  <c r="X40" i="1"/>
  <c r="AF7" i="1"/>
  <c r="AG7" i="1"/>
  <c r="AE7" i="1"/>
  <c r="BG63" i="6"/>
  <c r="BG15" i="6" l="1"/>
  <c r="BG16" i="6"/>
  <c r="BG17" i="6"/>
  <c r="BG18" i="6"/>
  <c r="BG19" i="6"/>
  <c r="BG20" i="6"/>
  <c r="BG21" i="6"/>
  <c r="BK25" i="6"/>
  <c r="BK26" i="6"/>
  <c r="BK27" i="6"/>
  <c r="BK24" i="6"/>
  <c r="BN12" i="1"/>
  <c r="BH38" i="1"/>
  <c r="Z13" i="1"/>
  <c r="BK62" i="6" l="1"/>
  <c r="BK63" i="6"/>
  <c r="AQ58" i="4"/>
  <c r="I40" i="4" s="1"/>
  <c r="BF39" i="4" l="1"/>
  <c r="BE67" i="4" s="1"/>
  <c r="AP53" i="4" s="1"/>
  <c r="BH48" i="4"/>
  <c r="BH54" i="4" s="1"/>
  <c r="BH60" i="4" s="1"/>
  <c r="BH66" i="4" s="1"/>
  <c r="BH49" i="4"/>
  <c r="BH55" i="4" s="1"/>
  <c r="BH61" i="4" s="1"/>
  <c r="BH67" i="4" s="1"/>
  <c r="BH50" i="4"/>
  <c r="BH56" i="4" s="1"/>
  <c r="BH62" i="4" s="1"/>
  <c r="BH68" i="4" s="1"/>
  <c r="BJ35" i="4"/>
  <c r="BR35" i="4" s="1"/>
  <c r="BR46" i="4" s="1"/>
  <c r="BI35" i="4"/>
  <c r="BQ35" i="4" s="1"/>
  <c r="BQ46" i="4" s="1"/>
  <c r="BJ44" i="4"/>
  <c r="BJ43" i="4"/>
  <c r="BG35" i="4"/>
  <c r="J53" i="4"/>
  <c r="T52" i="4"/>
  <c r="T46" i="4"/>
  <c r="T43" i="4"/>
  <c r="T42" i="4"/>
  <c r="BG45" i="4" l="1"/>
  <c r="T47" i="4"/>
  <c r="BA3" i="4"/>
  <c r="R11" i="4"/>
  <c r="S10" i="4"/>
  <c r="L16" i="4"/>
  <c r="L17" i="4"/>
  <c r="L18" i="4"/>
  <c r="L19" i="4"/>
  <c r="L20" i="4"/>
  <c r="L21" i="4"/>
  <c r="L22" i="4"/>
  <c r="L23" i="4"/>
  <c r="L24" i="4"/>
  <c r="L25" i="4"/>
  <c r="L26" i="4"/>
  <c r="L15" i="4"/>
  <c r="C15" i="4"/>
  <c r="D15" i="4"/>
  <c r="E15" i="4"/>
  <c r="F15" i="4"/>
  <c r="G15" i="4"/>
  <c r="H15" i="4"/>
  <c r="I15" i="4"/>
  <c r="J15" i="4"/>
  <c r="C16" i="4"/>
  <c r="D16" i="4"/>
  <c r="E16" i="4"/>
  <c r="F16" i="4"/>
  <c r="G16" i="4"/>
  <c r="H16" i="4"/>
  <c r="I16" i="4"/>
  <c r="J16" i="4"/>
  <c r="C17" i="4"/>
  <c r="D17" i="4"/>
  <c r="E17" i="4"/>
  <c r="F17" i="4"/>
  <c r="G17" i="4"/>
  <c r="H17" i="4"/>
  <c r="I17" i="4"/>
  <c r="J17" i="4"/>
  <c r="C18" i="4"/>
  <c r="D18" i="4"/>
  <c r="E18" i="4"/>
  <c r="F18" i="4"/>
  <c r="G18" i="4"/>
  <c r="H18" i="4"/>
  <c r="I18" i="4"/>
  <c r="J18" i="4"/>
  <c r="C19" i="4"/>
  <c r="D19" i="4"/>
  <c r="E19" i="4"/>
  <c r="F19" i="4"/>
  <c r="G19" i="4"/>
  <c r="H19" i="4"/>
  <c r="I19" i="4"/>
  <c r="J19" i="4"/>
  <c r="C20" i="4"/>
  <c r="D20" i="4"/>
  <c r="E20" i="4"/>
  <c r="F20" i="4"/>
  <c r="G20" i="4"/>
  <c r="H20" i="4"/>
  <c r="I20" i="4"/>
  <c r="J20" i="4"/>
  <c r="C21" i="4"/>
  <c r="D21" i="4"/>
  <c r="E21" i="4"/>
  <c r="F21" i="4"/>
  <c r="G21" i="4"/>
  <c r="H21" i="4"/>
  <c r="I21" i="4"/>
  <c r="J21" i="4"/>
  <c r="C22" i="4"/>
  <c r="D22" i="4"/>
  <c r="O22" i="4" s="1"/>
  <c r="E22" i="4"/>
  <c r="F22" i="4"/>
  <c r="G22" i="4"/>
  <c r="H22" i="4"/>
  <c r="I22" i="4"/>
  <c r="J22" i="4"/>
  <c r="C23" i="4"/>
  <c r="D23" i="4"/>
  <c r="O23" i="4" s="1"/>
  <c r="E23" i="4"/>
  <c r="F23" i="4"/>
  <c r="G23" i="4"/>
  <c r="H23" i="4"/>
  <c r="I23" i="4"/>
  <c r="J23" i="4"/>
  <c r="C24" i="4"/>
  <c r="D24" i="4"/>
  <c r="O24" i="4" s="1"/>
  <c r="E24" i="4"/>
  <c r="F24" i="4"/>
  <c r="G24" i="4"/>
  <c r="H24" i="4"/>
  <c r="I24" i="4"/>
  <c r="J24" i="4"/>
  <c r="C25" i="4"/>
  <c r="D25" i="4"/>
  <c r="O25" i="4" s="1"/>
  <c r="E25" i="4"/>
  <c r="F25" i="4"/>
  <c r="G25" i="4"/>
  <c r="H25" i="4"/>
  <c r="I25" i="4"/>
  <c r="J25" i="4"/>
  <c r="C26" i="4"/>
  <c r="D26" i="4"/>
  <c r="O26" i="4" s="1"/>
  <c r="E26" i="4"/>
  <c r="F26" i="4"/>
  <c r="G26" i="4"/>
  <c r="H26" i="4"/>
  <c r="I26" i="4"/>
  <c r="J26" i="4"/>
  <c r="B16" i="4"/>
  <c r="B17" i="4"/>
  <c r="B18" i="4"/>
  <c r="B19" i="4"/>
  <c r="B20" i="4"/>
  <c r="B21" i="4"/>
  <c r="B22" i="4"/>
  <c r="B23" i="4"/>
  <c r="B24" i="4"/>
  <c r="B25" i="4"/>
  <c r="B26" i="4"/>
  <c r="B15" i="4"/>
  <c r="BN3" i="4" l="1"/>
  <c r="BI3" i="4"/>
  <c r="BL3" i="4" s="1"/>
  <c r="BO3" i="4" s="1"/>
  <c r="BP3" i="4" s="1"/>
  <c r="L14" i="4"/>
  <c r="O46" i="4" s="1"/>
  <c r="T16" i="4"/>
  <c r="W16" i="4" s="1"/>
  <c r="BB3" i="4"/>
  <c r="AF26" i="4"/>
  <c r="AF24" i="4"/>
  <c r="AF22" i="4"/>
  <c r="AH26" i="4"/>
  <c r="AI25" i="4"/>
  <c r="AG25" i="4"/>
  <c r="AH24" i="4"/>
  <c r="AI23" i="4"/>
  <c r="AG23" i="4"/>
  <c r="AH22" i="4"/>
  <c r="AI21" i="4"/>
  <c r="AG21" i="4"/>
  <c r="AH20" i="4"/>
  <c r="AF25" i="4"/>
  <c r="AF23" i="4"/>
  <c r="AI26" i="4"/>
  <c r="AG26" i="4"/>
  <c r="AH25" i="4"/>
  <c r="AI24" i="4"/>
  <c r="AG24" i="4"/>
  <c r="AH23" i="4"/>
  <c r="AI22" i="4"/>
  <c r="AG22" i="4"/>
  <c r="AH21" i="4"/>
  <c r="AI20" i="4"/>
  <c r="AH19" i="4"/>
  <c r="T15" i="4"/>
  <c r="W15" i="4" s="1"/>
  <c r="T25" i="4"/>
  <c r="W25" i="4" s="1"/>
  <c r="T23" i="4"/>
  <c r="W23" i="4" s="1"/>
  <c r="T21" i="4"/>
  <c r="W21" i="4" s="1"/>
  <c r="T19" i="4"/>
  <c r="W19" i="4" s="1"/>
  <c r="U25" i="4"/>
  <c r="U23" i="4"/>
  <c r="T18" i="4"/>
  <c r="U18" i="4" s="1"/>
  <c r="T26" i="4"/>
  <c r="W26" i="4" s="1"/>
  <c r="T24" i="4"/>
  <c r="U24" i="4" s="1"/>
  <c r="T22" i="4"/>
  <c r="W22" i="4" s="1"/>
  <c r="T20" i="4"/>
  <c r="U20" i="4" s="1"/>
  <c r="U26" i="4"/>
  <c r="T17" i="4"/>
  <c r="U17" i="4" s="1"/>
  <c r="R26" i="4"/>
  <c r="P26" i="4"/>
  <c r="R25" i="4"/>
  <c r="P25" i="4"/>
  <c r="R24" i="4"/>
  <c r="P24" i="4"/>
  <c r="R23" i="4"/>
  <c r="P23" i="4"/>
  <c r="R22" i="4"/>
  <c r="P22" i="4"/>
  <c r="Q26" i="4"/>
  <c r="Q25" i="4"/>
  <c r="Q24" i="4"/>
  <c r="Q23" i="4"/>
  <c r="Q22" i="4"/>
  <c r="O21" i="3"/>
  <c r="BA4" i="4" l="1"/>
  <c r="BJ3" i="4"/>
  <c r="T10" i="3"/>
  <c r="U19" i="4"/>
  <c r="V19" i="4" s="1"/>
  <c r="U21" i="4"/>
  <c r="V21" i="4" s="1"/>
  <c r="U22" i="4"/>
  <c r="V22" i="4" s="1"/>
  <c r="U16" i="4"/>
  <c r="V16" i="4" s="1"/>
  <c r="V17" i="4"/>
  <c r="V20" i="4"/>
  <c r="V24" i="4"/>
  <c r="V18" i="4"/>
  <c r="V25" i="4"/>
  <c r="W20" i="4"/>
  <c r="W24" i="4"/>
  <c r="V26" i="4"/>
  <c r="V23" i="4"/>
  <c r="BB4" i="4"/>
  <c r="BA5" i="4" s="1"/>
  <c r="BC3" i="4"/>
  <c r="BD3" i="4" s="1"/>
  <c r="W17" i="4"/>
  <c r="W18" i="4"/>
  <c r="U15" i="4"/>
  <c r="BQ3" i="4" l="1"/>
  <c r="BR3" i="4"/>
  <c r="BT3" i="4"/>
  <c r="BS3" i="4"/>
  <c r="BV3" i="4"/>
  <c r="BU3" i="4"/>
  <c r="BN5" i="4"/>
  <c r="BI5" i="4"/>
  <c r="BL5" i="4" s="1"/>
  <c r="BN4" i="4"/>
  <c r="BJ4" i="4"/>
  <c r="BI4" i="4"/>
  <c r="BL4" i="4" s="1"/>
  <c r="BO4" i="4" s="1"/>
  <c r="BF3" i="4"/>
  <c r="BH3" i="4" s="1"/>
  <c r="BE3" i="4"/>
  <c r="BC4" i="4"/>
  <c r="BD4" i="4" s="1"/>
  <c r="V15" i="4"/>
  <c r="Z23" i="4"/>
  <c r="AA23" i="4"/>
  <c r="Z19" i="4"/>
  <c r="AA19" i="4"/>
  <c r="Z26" i="4"/>
  <c r="AA26" i="4"/>
  <c r="Z25" i="4"/>
  <c r="AA25" i="4"/>
  <c r="Z21" i="4"/>
  <c r="AA21" i="4"/>
  <c r="Z18" i="4"/>
  <c r="AA18" i="4"/>
  <c r="Z24" i="4"/>
  <c r="AA24" i="4"/>
  <c r="Z20" i="4"/>
  <c r="AA20" i="4"/>
  <c r="Z22" i="4"/>
  <c r="AA22" i="4"/>
  <c r="Z17" i="4"/>
  <c r="AA17" i="4"/>
  <c r="AE23" i="4"/>
  <c r="AE19" i="4"/>
  <c r="AE26" i="4"/>
  <c r="AE25" i="4"/>
  <c r="AE21" i="4"/>
  <c r="AE24" i="4"/>
  <c r="AE20" i="4"/>
  <c r="AE22" i="4"/>
  <c r="BB5" i="4"/>
  <c r="BJ5" i="4" s="1"/>
  <c r="P47" i="2"/>
  <c r="O7" i="3"/>
  <c r="O6" i="3"/>
  <c r="L36" i="3"/>
  <c r="BN14" i="1"/>
  <c r="BN15" i="1"/>
  <c r="BN16" i="1"/>
  <c r="BN17" i="1"/>
  <c r="BN18" i="1"/>
  <c r="BN19" i="1"/>
  <c r="BN20" i="1"/>
  <c r="BN21" i="1"/>
  <c r="BN22" i="1"/>
  <c r="BN23" i="1"/>
  <c r="BN24" i="1"/>
  <c r="BN13" i="1"/>
  <c r="K3" i="3"/>
  <c r="O22" i="3"/>
  <c r="O20" i="3"/>
  <c r="G14" i="3" s="1"/>
  <c r="L6" i="3"/>
  <c r="M6" i="3" s="1"/>
  <c r="J3" i="1"/>
  <c r="BH91" i="1"/>
  <c r="BF91" i="1"/>
  <c r="BE91" i="1"/>
  <c r="BH90" i="1"/>
  <c r="BF90" i="1"/>
  <c r="BE90" i="1"/>
  <c r="BH89" i="1"/>
  <c r="BF89" i="1"/>
  <c r="BE89" i="1"/>
  <c r="BH88" i="1"/>
  <c r="BF88" i="1"/>
  <c r="BE88" i="1"/>
  <c r="BH87" i="1"/>
  <c r="BF87" i="1"/>
  <c r="BE87" i="1"/>
  <c r="BH86" i="1"/>
  <c r="BF86" i="1"/>
  <c r="BE86" i="1"/>
  <c r="BH85" i="1"/>
  <c r="BF85" i="1"/>
  <c r="BE85" i="1"/>
  <c r="BH84" i="1"/>
  <c r="BF84" i="1"/>
  <c r="BE84" i="1"/>
  <c r="BH83" i="1"/>
  <c r="BF83" i="1"/>
  <c r="BE83" i="1"/>
  <c r="BH82" i="1"/>
  <c r="BF82" i="1"/>
  <c r="BE82" i="1"/>
  <c r="BH81" i="1"/>
  <c r="BF81" i="1"/>
  <c r="BE81" i="1"/>
  <c r="BH80" i="1"/>
  <c r="BF80" i="1"/>
  <c r="BE80" i="1"/>
  <c r="BH79" i="1"/>
  <c r="BF79" i="1"/>
  <c r="BE79" i="1"/>
  <c r="BH78" i="1"/>
  <c r="BF78" i="1"/>
  <c r="BE78" i="1"/>
  <c r="BH77" i="1"/>
  <c r="BF77" i="1"/>
  <c r="BE77" i="1"/>
  <c r="BH76" i="1"/>
  <c r="BF76" i="1"/>
  <c r="BE76" i="1"/>
  <c r="BH75" i="1"/>
  <c r="BF75" i="1"/>
  <c r="BE75" i="1"/>
  <c r="BH74" i="1"/>
  <c r="BF74" i="1"/>
  <c r="BE74" i="1"/>
  <c r="BH73" i="1"/>
  <c r="BF73" i="1"/>
  <c r="BE73" i="1"/>
  <c r="BH72" i="1"/>
  <c r="BF72" i="1"/>
  <c r="BE72" i="1"/>
  <c r="BH71" i="1"/>
  <c r="BF71" i="1"/>
  <c r="BE71" i="1"/>
  <c r="BH70" i="1"/>
  <c r="BF70" i="1"/>
  <c r="BE70" i="1"/>
  <c r="BH69" i="1"/>
  <c r="BF69" i="1"/>
  <c r="BE69" i="1"/>
  <c r="BH68" i="1"/>
  <c r="BF68" i="1"/>
  <c r="BE68" i="1"/>
  <c r="BH67" i="1"/>
  <c r="BF67" i="1"/>
  <c r="BE67" i="1"/>
  <c r="BH66" i="1"/>
  <c r="BF66" i="1"/>
  <c r="BE66" i="1"/>
  <c r="BH65" i="1"/>
  <c r="BF65" i="1"/>
  <c r="BE65" i="1"/>
  <c r="BH64" i="1"/>
  <c r="BF64" i="1"/>
  <c r="BE64" i="1"/>
  <c r="BH63" i="1"/>
  <c r="BF63" i="1"/>
  <c r="BE63" i="1"/>
  <c r="BH62" i="1"/>
  <c r="BF62" i="1"/>
  <c r="BE62" i="1"/>
  <c r="BH61" i="1"/>
  <c r="BF61" i="1"/>
  <c r="BE61" i="1"/>
  <c r="BH60" i="1"/>
  <c r="BF60" i="1"/>
  <c r="BE60" i="1"/>
  <c r="BH59" i="1"/>
  <c r="BF59" i="1"/>
  <c r="BE59" i="1"/>
  <c r="BH58" i="1"/>
  <c r="BF58" i="1"/>
  <c r="BE58" i="1"/>
  <c r="BH57" i="1"/>
  <c r="BF57" i="1"/>
  <c r="BE57" i="1"/>
  <c r="BH56" i="1"/>
  <c r="BF56" i="1"/>
  <c r="BE56" i="1"/>
  <c r="BH55" i="1"/>
  <c r="BF55" i="1"/>
  <c r="BE55" i="1"/>
  <c r="BH54" i="1"/>
  <c r="BF54" i="1"/>
  <c r="BE54" i="1"/>
  <c r="BH53" i="1"/>
  <c r="BF53" i="1"/>
  <c r="BE53" i="1"/>
  <c r="BH52" i="1"/>
  <c r="BF52" i="1"/>
  <c r="BE52" i="1"/>
  <c r="BH51" i="1"/>
  <c r="BF51" i="1"/>
  <c r="BE51" i="1"/>
  <c r="BH50" i="1"/>
  <c r="BF50" i="1"/>
  <c r="BE50" i="1"/>
  <c r="BH49" i="1"/>
  <c r="BF49" i="1"/>
  <c r="BE49" i="1"/>
  <c r="BH48" i="1"/>
  <c r="BF48" i="1"/>
  <c r="BE48" i="1"/>
  <c r="BH47" i="1"/>
  <c r="BF47" i="1"/>
  <c r="BE47" i="1"/>
  <c r="BH46" i="1"/>
  <c r="BF46" i="1"/>
  <c r="BE46" i="1"/>
  <c r="BH45" i="1"/>
  <c r="BF45" i="1"/>
  <c r="BE45" i="1"/>
  <c r="BH44" i="1"/>
  <c r="BF44" i="1"/>
  <c r="BE44" i="1"/>
  <c r="BH43" i="1"/>
  <c r="BF43" i="1"/>
  <c r="BE43" i="1"/>
  <c r="BH42" i="1"/>
  <c r="BF42" i="1"/>
  <c r="BE42" i="1"/>
  <c r="BH41" i="1"/>
  <c r="BF41" i="1"/>
  <c r="BE41" i="1"/>
  <c r="BH40" i="1"/>
  <c r="BF40" i="1"/>
  <c r="BE40" i="1"/>
  <c r="BH39" i="1"/>
  <c r="BF39" i="1"/>
  <c r="BE39" i="1"/>
  <c r="BF38" i="1"/>
  <c r="BE38" i="1"/>
  <c r="BH37" i="1"/>
  <c r="BF37" i="1"/>
  <c r="BE37" i="1"/>
  <c r="BH36" i="1"/>
  <c r="BF36" i="1"/>
  <c r="BE36" i="1"/>
  <c r="BH35" i="1"/>
  <c r="BF35" i="1"/>
  <c r="BE35" i="1"/>
  <c r="BH34" i="1"/>
  <c r="BF34" i="1"/>
  <c r="BE34" i="1"/>
  <c r="BH33" i="1"/>
  <c r="BF33" i="1"/>
  <c r="BE33" i="1"/>
  <c r="BH32" i="1"/>
  <c r="BF32" i="1"/>
  <c r="BE32" i="1"/>
  <c r="BH31" i="1"/>
  <c r="BF31" i="1"/>
  <c r="BE31" i="1"/>
  <c r="BH30" i="1"/>
  <c r="BF30" i="1"/>
  <c r="BE30" i="1"/>
  <c r="BH29" i="1"/>
  <c r="BF29" i="1"/>
  <c r="BE29" i="1"/>
  <c r="BH28" i="1"/>
  <c r="BF28" i="1"/>
  <c r="BE28" i="1"/>
  <c r="BH27" i="1"/>
  <c r="BF27" i="1"/>
  <c r="BE27" i="1"/>
  <c r="BH25" i="1"/>
  <c r="BF25" i="1"/>
  <c r="BE25" i="1"/>
  <c r="BH24" i="1"/>
  <c r="BF24" i="1"/>
  <c r="BE24" i="1"/>
  <c r="BH23" i="1"/>
  <c r="BF23" i="1"/>
  <c r="BE23" i="1"/>
  <c r="BH22" i="1"/>
  <c r="BF22" i="1"/>
  <c r="BE22" i="1"/>
  <c r="BH21" i="1"/>
  <c r="BF21" i="1"/>
  <c r="BE21" i="1"/>
  <c r="BH20" i="1"/>
  <c r="BF20" i="1"/>
  <c r="BE20" i="1"/>
  <c r="BH19" i="1"/>
  <c r="BF19" i="1"/>
  <c r="BE19" i="1"/>
  <c r="BH18" i="1"/>
  <c r="BF18" i="1"/>
  <c r="BE18" i="1"/>
  <c r="BH17" i="1"/>
  <c r="BF17" i="1"/>
  <c r="BE17" i="1"/>
  <c r="BH16" i="1"/>
  <c r="BF16" i="1"/>
  <c r="BE16" i="1"/>
  <c r="BH15" i="1"/>
  <c r="BF15" i="1"/>
  <c r="BE15" i="1"/>
  <c r="BF14" i="1"/>
  <c r="BE14" i="1"/>
  <c r="BH13" i="1"/>
  <c r="BF13" i="1"/>
  <c r="BE13" i="1"/>
  <c r="BH12" i="1"/>
  <c r="BF12" i="1"/>
  <c r="BE12" i="1"/>
  <c r="BH11" i="1"/>
  <c r="BF11" i="1"/>
  <c r="BE11" i="1"/>
  <c r="BH10" i="1"/>
  <c r="BF10" i="1"/>
  <c r="BE10" i="1"/>
  <c r="BH9" i="1"/>
  <c r="BF9" i="1"/>
  <c r="BE9" i="1"/>
  <c r="BH8" i="1"/>
  <c r="BF8" i="1"/>
  <c r="BE8" i="1"/>
  <c r="BH7" i="1"/>
  <c r="BF7" i="1"/>
  <c r="BE7" i="1"/>
  <c r="BH6" i="1"/>
  <c r="BF6" i="1"/>
  <c r="BE6" i="1"/>
  <c r="BF92" i="1"/>
  <c r="BE92" i="1"/>
  <c r="H2" i="1"/>
  <c r="BD5" i="1" s="1"/>
  <c r="BW3" i="4" l="1"/>
  <c r="BZ3" i="4" s="1"/>
  <c r="BR5" i="4"/>
  <c r="BQ5" i="4"/>
  <c r="BU5" i="4"/>
  <c r="BT5" i="4"/>
  <c r="BS5" i="4"/>
  <c r="BV5" i="4"/>
  <c r="BT4" i="4"/>
  <c r="BQ4" i="4"/>
  <c r="BS4" i="4"/>
  <c r="BP5" i="4"/>
  <c r="BO5" i="4"/>
  <c r="BF4" i="4"/>
  <c r="BH4" i="4" s="1"/>
  <c r="BE4" i="4"/>
  <c r="BG92" i="1"/>
  <c r="BG6" i="1"/>
  <c r="BG8" i="1"/>
  <c r="BG10" i="1"/>
  <c r="BG12" i="1"/>
  <c r="BG14" i="1"/>
  <c r="BG16" i="1"/>
  <c r="BG18" i="1"/>
  <c r="BG20" i="1"/>
  <c r="BG22" i="1"/>
  <c r="BG24" i="1"/>
  <c r="BG27" i="1"/>
  <c r="BG29" i="1"/>
  <c r="BG31" i="1"/>
  <c r="BG33" i="1"/>
  <c r="BG35" i="1"/>
  <c r="BG37" i="1"/>
  <c r="BG39" i="1"/>
  <c r="BG41" i="1"/>
  <c r="BG43" i="1"/>
  <c r="BG45" i="1"/>
  <c r="BG47" i="1"/>
  <c r="BG49" i="1"/>
  <c r="BG51" i="1"/>
  <c r="BG53" i="1"/>
  <c r="BG55" i="1"/>
  <c r="BG57" i="1"/>
  <c r="BG59" i="1"/>
  <c r="BG61" i="1"/>
  <c r="BG63" i="1"/>
  <c r="BG65" i="1"/>
  <c r="BG67" i="1"/>
  <c r="BG69" i="1"/>
  <c r="BG71" i="1"/>
  <c r="BG73" i="1"/>
  <c r="BG75" i="1"/>
  <c r="BG77" i="1"/>
  <c r="BG79" i="1"/>
  <c r="BG81" i="1"/>
  <c r="BG83" i="1"/>
  <c r="BG85" i="1"/>
  <c r="BG87" i="1"/>
  <c r="BG89" i="1"/>
  <c r="BG91" i="1"/>
  <c r="AB17" i="4"/>
  <c r="AD17" i="4" s="1"/>
  <c r="AB22" i="4"/>
  <c r="AB20" i="4"/>
  <c r="AB24" i="4"/>
  <c r="AB18" i="4"/>
  <c r="AD18" i="4" s="1"/>
  <c r="AB21" i="4"/>
  <c r="AB25" i="4"/>
  <c r="AB26" i="4"/>
  <c r="AB19" i="4"/>
  <c r="AB23" i="4"/>
  <c r="BA6" i="4"/>
  <c r="BC5" i="4"/>
  <c r="BG48" i="1"/>
  <c r="BG50" i="1"/>
  <c r="BG52" i="1"/>
  <c r="BG54" i="1"/>
  <c r="BG56" i="1"/>
  <c r="BG58" i="1"/>
  <c r="BG60" i="1"/>
  <c r="BG62" i="1"/>
  <c r="BG64" i="1"/>
  <c r="BG66" i="1"/>
  <c r="BG68" i="1"/>
  <c r="BG70" i="1"/>
  <c r="BG72" i="1"/>
  <c r="BG74" i="1"/>
  <c r="BG76" i="1"/>
  <c r="BG78" i="1"/>
  <c r="BG80" i="1"/>
  <c r="BG82" i="1"/>
  <c r="BG84" i="1"/>
  <c r="BG86" i="1"/>
  <c r="BG88" i="1"/>
  <c r="BG90" i="1"/>
  <c r="AU5" i="1"/>
  <c r="AW5" i="1"/>
  <c r="AY5" i="1"/>
  <c r="BA5" i="1"/>
  <c r="BC5" i="1"/>
  <c r="AT5" i="1"/>
  <c r="AV5" i="1"/>
  <c r="AX5" i="1"/>
  <c r="AZ5" i="1"/>
  <c r="BB5" i="1"/>
  <c r="BG7" i="1"/>
  <c r="BG9" i="1"/>
  <c r="BG11" i="1"/>
  <c r="BG13" i="1"/>
  <c r="BG15" i="1"/>
  <c r="BG17" i="1"/>
  <c r="BG19" i="1"/>
  <c r="BG21" i="1"/>
  <c r="BG23" i="1"/>
  <c r="BG25" i="1"/>
  <c r="BG28" i="1"/>
  <c r="BG30" i="1"/>
  <c r="BG32" i="1"/>
  <c r="BG34" i="1"/>
  <c r="BG36" i="1"/>
  <c r="BG38" i="1"/>
  <c r="BG40" i="1"/>
  <c r="BG42" i="1"/>
  <c r="BG44" i="1"/>
  <c r="BG46" i="1"/>
  <c r="H16" i="5"/>
  <c r="H17" i="5"/>
  <c r="H18" i="5"/>
  <c r="H19" i="5"/>
  <c r="H20" i="5"/>
  <c r="H21" i="5"/>
  <c r="H22" i="5"/>
  <c r="H23" i="5"/>
  <c r="H24" i="5"/>
  <c r="H25" i="5"/>
  <c r="H26" i="5"/>
  <c r="H15" i="5"/>
  <c r="O11" i="6"/>
  <c r="O12" i="6"/>
  <c r="O13" i="6"/>
  <c r="O14" i="6"/>
  <c r="O15" i="6"/>
  <c r="O16" i="6"/>
  <c r="O17" i="6"/>
  <c r="O18" i="6"/>
  <c r="O19" i="6"/>
  <c r="O20" i="6"/>
  <c r="O21" i="6"/>
  <c r="O10" i="6"/>
  <c r="U27" i="7"/>
  <c r="T27" i="7"/>
  <c r="Z14" i="1"/>
  <c r="Z15" i="1"/>
  <c r="Z16" i="1"/>
  <c r="Z17" i="1"/>
  <c r="Z18" i="1"/>
  <c r="Z19" i="1"/>
  <c r="Z20" i="1"/>
  <c r="Z21" i="1"/>
  <c r="Z22" i="1"/>
  <c r="Z23" i="1"/>
  <c r="Z24" i="1"/>
  <c r="V11" i="6"/>
  <c r="V12" i="6"/>
  <c r="V13" i="6"/>
  <c r="V14" i="6"/>
  <c r="V15" i="6"/>
  <c r="V16" i="6"/>
  <c r="V17" i="6"/>
  <c r="V18" i="6"/>
  <c r="V19" i="6"/>
  <c r="V20" i="6"/>
  <c r="V21" i="6"/>
  <c r="V10" i="6"/>
  <c r="BR4" i="4" l="1"/>
  <c r="BD5" i="4"/>
  <c r="BN6" i="4"/>
  <c r="BI6" i="4"/>
  <c r="BL6" i="4" s="1"/>
  <c r="BO6" i="4" s="1"/>
  <c r="BP6" i="4" s="1"/>
  <c r="BW5" i="4"/>
  <c r="BZ5" i="4" s="1"/>
  <c r="AD19" i="4"/>
  <c r="AD25" i="4"/>
  <c r="AK25" i="4" s="1"/>
  <c r="AC25" i="4"/>
  <c r="AJ25" i="4" s="1"/>
  <c r="AD20" i="4"/>
  <c r="AD23" i="4"/>
  <c r="AK23" i="4" s="1"/>
  <c r="AC23" i="4"/>
  <c r="AJ23" i="4" s="1"/>
  <c r="AD26" i="4"/>
  <c r="AK26" i="4" s="1"/>
  <c r="AC26" i="4"/>
  <c r="AJ26" i="4" s="1"/>
  <c r="AD21" i="4"/>
  <c r="AK21" i="4" s="1"/>
  <c r="AC21" i="4"/>
  <c r="AD24" i="4"/>
  <c r="AK24" i="4" s="1"/>
  <c r="AC24" i="4"/>
  <c r="AJ24" i="4" s="1"/>
  <c r="AD22" i="4"/>
  <c r="AK22" i="4" s="1"/>
  <c r="AC22" i="4"/>
  <c r="AJ22" i="4" s="1"/>
  <c r="BB6" i="4"/>
  <c r="BJ6" i="4" s="1"/>
  <c r="BD6" i="4"/>
  <c r="BH6" i="4" s="1"/>
  <c r="BH5" i="1"/>
  <c r="BE5" i="1"/>
  <c r="BF5" i="1"/>
  <c r="V9" i="6"/>
  <c r="BK60" i="6"/>
  <c r="BK61" i="6"/>
  <c r="BK56" i="6"/>
  <c r="BK57" i="6"/>
  <c r="BK58" i="6"/>
  <c r="BK59" i="6"/>
  <c r="BK55" i="6"/>
  <c r="AF33" i="6"/>
  <c r="T41" i="6"/>
  <c r="BE5" i="4" l="1"/>
  <c r="BF5" i="4"/>
  <c r="BH5" i="4" s="1"/>
  <c r="BS6" i="4"/>
  <c r="BU6" i="4" s="1"/>
  <c r="BT6" i="4"/>
  <c r="BQ6" i="4"/>
  <c r="BR6" i="4"/>
  <c r="BV6" i="4"/>
  <c r="BE6" i="4"/>
  <c r="BF6" i="4"/>
  <c r="BA7" i="4"/>
  <c r="BC6" i="4"/>
  <c r="BG5" i="1"/>
  <c r="F3" i="1" s="1"/>
  <c r="BH13" i="6"/>
  <c r="BH14" i="6"/>
  <c r="BI15" i="6"/>
  <c r="BH16" i="6"/>
  <c r="BI16" i="6"/>
  <c r="BH17" i="6"/>
  <c r="BI17" i="6"/>
  <c r="BH18" i="6"/>
  <c r="BI18" i="6"/>
  <c r="BH19" i="6"/>
  <c r="BI19" i="6"/>
  <c r="BH20" i="6"/>
  <c r="BI20" i="6"/>
  <c r="BH21" i="6"/>
  <c r="BI21" i="6"/>
  <c r="Z9" i="7"/>
  <c r="AA9" i="7"/>
  <c r="Z8" i="7"/>
  <c r="AA8" i="7"/>
  <c r="N16" i="7"/>
  <c r="N17" i="7"/>
  <c r="Y17" i="7" s="1"/>
  <c r="N18" i="7"/>
  <c r="Y18" i="7" s="1"/>
  <c r="N19" i="7"/>
  <c r="Y19" i="7" s="1"/>
  <c r="N20" i="7"/>
  <c r="Y20" i="7" s="1"/>
  <c r="N21" i="7"/>
  <c r="Y21" i="7" s="1"/>
  <c r="N22" i="7"/>
  <c r="Y22" i="7" s="1"/>
  <c r="N23" i="7"/>
  <c r="Y23" i="7" s="1"/>
  <c r="N24" i="7"/>
  <c r="Y24" i="7" s="1"/>
  <c r="N25" i="7"/>
  <c r="Y25" i="7" s="1"/>
  <c r="N26" i="7"/>
  <c r="Y26" i="7" s="1"/>
  <c r="W17" i="7"/>
  <c r="W18" i="7"/>
  <c r="W19" i="7"/>
  <c r="W20" i="7"/>
  <c r="BH15" i="6" s="1"/>
  <c r="W21" i="7"/>
  <c r="W22" i="7"/>
  <c r="W23" i="7"/>
  <c r="W24" i="7"/>
  <c r="W25" i="7"/>
  <c r="W26" i="7"/>
  <c r="Z7" i="7"/>
  <c r="AA7" i="7"/>
  <c r="D23" i="2"/>
  <c r="AA3" i="7"/>
  <c r="AA4" i="7"/>
  <c r="AA5" i="7"/>
  <c r="AA6" i="7"/>
  <c r="AA2" i="7"/>
  <c r="S27" i="7"/>
  <c r="M27" i="7"/>
  <c r="L27" i="7"/>
  <c r="N15" i="7"/>
  <c r="Y15" i="7" s="1"/>
  <c r="C16" i="7"/>
  <c r="D16" i="7"/>
  <c r="E16" i="7"/>
  <c r="F16" i="7"/>
  <c r="G16" i="7"/>
  <c r="H16" i="7"/>
  <c r="I16" i="7"/>
  <c r="K16" i="7" s="1"/>
  <c r="C17" i="7"/>
  <c r="D17" i="7"/>
  <c r="E17" i="7"/>
  <c r="F17" i="7"/>
  <c r="G17" i="7"/>
  <c r="H17" i="7"/>
  <c r="I17" i="7"/>
  <c r="K17" i="7" s="1"/>
  <c r="C18" i="7"/>
  <c r="D18" i="7"/>
  <c r="E18" i="7"/>
  <c r="F18" i="7"/>
  <c r="G18" i="7"/>
  <c r="H18" i="7"/>
  <c r="I18" i="7"/>
  <c r="K18" i="7" s="1"/>
  <c r="C19" i="7"/>
  <c r="D19" i="7"/>
  <c r="E19" i="7"/>
  <c r="F19" i="7"/>
  <c r="G19" i="7"/>
  <c r="H19" i="7"/>
  <c r="I19" i="7"/>
  <c r="K19" i="7" s="1"/>
  <c r="C20" i="7"/>
  <c r="D20" i="7"/>
  <c r="E20" i="7"/>
  <c r="F20" i="7"/>
  <c r="G20" i="7"/>
  <c r="H20" i="7"/>
  <c r="I20" i="7"/>
  <c r="K20" i="7" s="1"/>
  <c r="C21" i="7"/>
  <c r="D21" i="7"/>
  <c r="E21" i="7"/>
  <c r="F21" i="7"/>
  <c r="G21" i="7"/>
  <c r="H21" i="7"/>
  <c r="I21" i="7"/>
  <c r="K21" i="7" s="1"/>
  <c r="C22" i="7"/>
  <c r="D22" i="7"/>
  <c r="E22" i="7"/>
  <c r="F22" i="7"/>
  <c r="G22" i="7"/>
  <c r="H22" i="7"/>
  <c r="I22" i="7"/>
  <c r="K22" i="7" s="1"/>
  <c r="C23" i="7"/>
  <c r="D23" i="7"/>
  <c r="E23" i="7"/>
  <c r="F23" i="7"/>
  <c r="G23" i="7"/>
  <c r="H23" i="7"/>
  <c r="I23" i="7"/>
  <c r="K23" i="7" s="1"/>
  <c r="C24" i="7"/>
  <c r="D24" i="7"/>
  <c r="E24" i="7"/>
  <c r="F24" i="7"/>
  <c r="G24" i="7"/>
  <c r="H24" i="7"/>
  <c r="I24" i="7"/>
  <c r="K24" i="7" s="1"/>
  <c r="C25" i="7"/>
  <c r="D25" i="7"/>
  <c r="E25" i="7"/>
  <c r="F25" i="7"/>
  <c r="G25" i="7"/>
  <c r="H25" i="7"/>
  <c r="I25" i="7"/>
  <c r="K25" i="7" s="1"/>
  <c r="C26" i="7"/>
  <c r="D26" i="7"/>
  <c r="E26" i="7"/>
  <c r="F26" i="7"/>
  <c r="G26" i="7"/>
  <c r="H26" i="7"/>
  <c r="I26" i="7"/>
  <c r="K26" i="7" s="1"/>
  <c r="H15" i="7"/>
  <c r="I15" i="7"/>
  <c r="K15" i="7" s="1"/>
  <c r="C15" i="7"/>
  <c r="D15" i="7"/>
  <c r="E15" i="7"/>
  <c r="F15" i="7"/>
  <c r="G15" i="7"/>
  <c r="B16" i="7"/>
  <c r="B17" i="7"/>
  <c r="B18" i="7"/>
  <c r="B19" i="7"/>
  <c r="B20" i="7"/>
  <c r="B21" i="7"/>
  <c r="B22" i="7"/>
  <c r="B23" i="7"/>
  <c r="B24" i="7"/>
  <c r="B25" i="7"/>
  <c r="B26" i="7"/>
  <c r="B15" i="7"/>
  <c r="BW6" i="4" l="1"/>
  <c r="BZ6" i="4" s="1"/>
  <c r="BN7" i="4"/>
  <c r="BI7" i="4"/>
  <c r="BL7" i="4" s="1"/>
  <c r="J24" i="7"/>
  <c r="J22" i="7"/>
  <c r="J20" i="7"/>
  <c r="J25" i="7"/>
  <c r="J23" i="7"/>
  <c r="J21" i="7"/>
  <c r="J18" i="7"/>
  <c r="J26" i="7"/>
  <c r="J19" i="7"/>
  <c r="J17" i="7"/>
  <c r="J16" i="7"/>
  <c r="J15" i="7"/>
  <c r="BI14" i="6"/>
  <c r="BG14" i="6"/>
  <c r="BI13" i="6"/>
  <c r="BG13" i="6"/>
  <c r="BG12" i="6"/>
  <c r="BI12" i="6" s="1"/>
  <c r="AI5" i="5"/>
  <c r="AH7" i="5" s="1"/>
  <c r="AN85" i="4"/>
  <c r="D93" i="4" s="1"/>
  <c r="BB7" i="4"/>
  <c r="BJ7" i="4" s="1"/>
  <c r="BD7" i="4"/>
  <c r="BH7" i="4" s="1"/>
  <c r="AU3" i="1"/>
  <c r="L3" i="3"/>
  <c r="BH12" i="6"/>
  <c r="W16" i="7"/>
  <c r="BG11" i="6" s="1"/>
  <c r="Y16" i="7"/>
  <c r="N27" i="7"/>
  <c r="W15" i="7"/>
  <c r="BG10" i="6" s="1"/>
  <c r="BI10" i="6" s="1"/>
  <c r="S16" i="5"/>
  <c r="S17" i="5"/>
  <c r="S18" i="5"/>
  <c r="S19" i="5"/>
  <c r="S20" i="5"/>
  <c r="S21" i="5"/>
  <c r="S22" i="5"/>
  <c r="S23" i="5"/>
  <c r="S24" i="5"/>
  <c r="S25" i="5"/>
  <c r="S26" i="5"/>
  <c r="S15" i="5"/>
  <c r="AZ6" i="6"/>
  <c r="AZ7" i="6"/>
  <c r="AZ8" i="6"/>
  <c r="AZ9" i="6"/>
  <c r="AZ10" i="6"/>
  <c r="AZ11" i="6"/>
  <c r="AY5" i="6"/>
  <c r="AZ5" i="6" s="1"/>
  <c r="AX12" i="6"/>
  <c r="AZ12" i="6" s="1"/>
  <c r="AU5" i="6"/>
  <c r="AR5" i="6"/>
  <c r="AN6" i="6"/>
  <c r="AO6" i="6" s="1"/>
  <c r="AN7" i="6"/>
  <c r="AO7" i="6" s="1"/>
  <c r="AN8" i="6"/>
  <c r="AO8" i="6" s="1"/>
  <c r="AN9" i="6"/>
  <c r="AO9" i="6" s="1"/>
  <c r="AN10" i="6"/>
  <c r="AN11" i="6"/>
  <c r="AN12" i="6"/>
  <c r="AN13" i="6"/>
  <c r="AN14" i="6"/>
  <c r="AN15" i="6"/>
  <c r="AN16" i="6"/>
  <c r="AN5" i="6"/>
  <c r="AO5" i="6" s="1"/>
  <c r="AK16" i="6"/>
  <c r="AK17" i="6"/>
  <c r="AK18" i="6"/>
  <c r="AK19" i="6"/>
  <c r="AK20" i="6"/>
  <c r="AK21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B11" i="6"/>
  <c r="AG6" i="6" s="1"/>
  <c r="F11" i="6"/>
  <c r="G11" i="6"/>
  <c r="H11" i="6"/>
  <c r="I11" i="6"/>
  <c r="J11" i="6"/>
  <c r="N11" i="6"/>
  <c r="AA11" i="6"/>
  <c r="B12" i="6"/>
  <c r="F12" i="6"/>
  <c r="G12" i="6"/>
  <c r="H12" i="6"/>
  <c r="I12" i="6"/>
  <c r="J12" i="6"/>
  <c r="N12" i="6"/>
  <c r="AA12" i="6"/>
  <c r="B13" i="6"/>
  <c r="F13" i="6"/>
  <c r="G13" i="6"/>
  <c r="H13" i="6"/>
  <c r="I13" i="6"/>
  <c r="J13" i="6"/>
  <c r="N13" i="6"/>
  <c r="AA13" i="6"/>
  <c r="B14" i="6"/>
  <c r="F14" i="6"/>
  <c r="G14" i="6"/>
  <c r="H14" i="6"/>
  <c r="I14" i="6"/>
  <c r="J14" i="6"/>
  <c r="N14" i="6"/>
  <c r="AA14" i="6"/>
  <c r="B15" i="6"/>
  <c r="AK15" i="6" s="1"/>
  <c r="F15" i="6"/>
  <c r="G15" i="6"/>
  <c r="H15" i="6"/>
  <c r="I15" i="6"/>
  <c r="J15" i="6"/>
  <c r="N15" i="6"/>
  <c r="AA15" i="6"/>
  <c r="B16" i="6"/>
  <c r="F16" i="6"/>
  <c r="G16" i="6"/>
  <c r="H16" i="6"/>
  <c r="I16" i="6"/>
  <c r="J16" i="6"/>
  <c r="AG16" i="6" s="1"/>
  <c r="N16" i="6"/>
  <c r="AA16" i="6"/>
  <c r="B17" i="6"/>
  <c r="F17" i="6"/>
  <c r="G17" i="6"/>
  <c r="H17" i="6"/>
  <c r="I17" i="6"/>
  <c r="J17" i="6"/>
  <c r="AG17" i="6" s="1"/>
  <c r="N17" i="6"/>
  <c r="AA17" i="6"/>
  <c r="B18" i="6"/>
  <c r="F18" i="6"/>
  <c r="G18" i="6"/>
  <c r="H18" i="6"/>
  <c r="I18" i="6"/>
  <c r="J18" i="6"/>
  <c r="AG18" i="6" s="1"/>
  <c r="N18" i="6"/>
  <c r="AA18" i="6"/>
  <c r="B19" i="6"/>
  <c r="F19" i="6"/>
  <c r="G19" i="6"/>
  <c r="H19" i="6"/>
  <c r="I19" i="6"/>
  <c r="J19" i="6"/>
  <c r="AG19" i="6" s="1"/>
  <c r="N19" i="6"/>
  <c r="AA19" i="6"/>
  <c r="B20" i="6"/>
  <c r="F20" i="6"/>
  <c r="G20" i="6"/>
  <c r="H20" i="6"/>
  <c r="I20" i="6"/>
  <c r="J20" i="6"/>
  <c r="AG20" i="6" s="1"/>
  <c r="N20" i="6"/>
  <c r="AA20" i="6"/>
  <c r="B21" i="6"/>
  <c r="F21" i="6"/>
  <c r="G21" i="6"/>
  <c r="H21" i="6"/>
  <c r="I21" i="6"/>
  <c r="J21" i="6"/>
  <c r="AG21" i="6" s="1"/>
  <c r="N21" i="6"/>
  <c r="AA21" i="6"/>
  <c r="N10" i="6"/>
  <c r="AA10" i="6"/>
  <c r="D10" i="6"/>
  <c r="E10" i="6"/>
  <c r="F10" i="6"/>
  <c r="G10" i="6"/>
  <c r="H10" i="6"/>
  <c r="I10" i="6"/>
  <c r="J10" i="6"/>
  <c r="B10" i="6"/>
  <c r="AB36" i="2"/>
  <c r="Z36" i="2"/>
  <c r="B21" i="5"/>
  <c r="C21" i="5"/>
  <c r="I16" i="5" s="1"/>
  <c r="B22" i="5"/>
  <c r="C22" i="5"/>
  <c r="I17" i="5" s="1"/>
  <c r="B23" i="5"/>
  <c r="C23" i="5"/>
  <c r="I18" i="5" s="1"/>
  <c r="B24" i="5"/>
  <c r="C24" i="5"/>
  <c r="I19" i="5" s="1"/>
  <c r="B25" i="5"/>
  <c r="C25" i="5"/>
  <c r="I20" i="5" s="1"/>
  <c r="B26" i="5"/>
  <c r="C26" i="5"/>
  <c r="I21" i="5" s="1"/>
  <c r="B27" i="5"/>
  <c r="C27" i="5"/>
  <c r="I22" i="5" s="1"/>
  <c r="B28" i="5"/>
  <c r="C28" i="5"/>
  <c r="I23" i="5" s="1"/>
  <c r="B29" i="5"/>
  <c r="C29" i="5"/>
  <c r="I24" i="5" s="1"/>
  <c r="B30" i="5"/>
  <c r="C30" i="5"/>
  <c r="I25" i="5" s="1"/>
  <c r="B31" i="5"/>
  <c r="C31" i="5"/>
  <c r="I26" i="5" s="1"/>
  <c r="C20" i="5"/>
  <c r="I15" i="5" s="1"/>
  <c r="B20" i="5"/>
  <c r="AH3" i="5"/>
  <c r="AI62" i="5" s="1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12" i="5"/>
  <c r="AE3" i="5"/>
  <c r="Z38" i="5" s="1"/>
  <c r="AF3" i="5"/>
  <c r="AA38" i="5" s="1"/>
  <c r="AE4" i="5"/>
  <c r="N8" i="5" s="1"/>
  <c r="AF4" i="5"/>
  <c r="M8" i="5" s="1"/>
  <c r="AE5" i="5"/>
  <c r="AF5" i="5"/>
  <c r="AD4" i="5"/>
  <c r="O8" i="5" s="1"/>
  <c r="AD5" i="5"/>
  <c r="AD6" i="5"/>
  <c r="AF9" i="5" s="1"/>
  <c r="AD3" i="5"/>
  <c r="Y38" i="5" s="1"/>
  <c r="L14" i="1"/>
  <c r="L11" i="6" s="1"/>
  <c r="L15" i="1"/>
  <c r="L12" i="6" s="1"/>
  <c r="L16" i="1"/>
  <c r="L13" i="6" s="1"/>
  <c r="L17" i="1"/>
  <c r="L14" i="6" s="1"/>
  <c r="L18" i="1"/>
  <c r="L15" i="6" s="1"/>
  <c r="L19" i="1"/>
  <c r="L16" i="6" s="1"/>
  <c r="L20" i="1"/>
  <c r="L17" i="6" s="1"/>
  <c r="L21" i="1"/>
  <c r="L18" i="6" s="1"/>
  <c r="L22" i="1"/>
  <c r="L19" i="6" s="1"/>
  <c r="L23" i="1"/>
  <c r="L20" i="6" s="1"/>
  <c r="L24" i="1"/>
  <c r="L21" i="6" s="1"/>
  <c r="L13" i="1"/>
  <c r="K24" i="1"/>
  <c r="K21" i="6" s="1"/>
  <c r="K14" i="1"/>
  <c r="K11" i="6" s="1"/>
  <c r="K15" i="1"/>
  <c r="K12" i="6" s="1"/>
  <c r="K16" i="1"/>
  <c r="K13" i="6" s="1"/>
  <c r="K17" i="1"/>
  <c r="K14" i="6" s="1"/>
  <c r="K18" i="1"/>
  <c r="K15" i="6" s="1"/>
  <c r="K19" i="1"/>
  <c r="K16" i="6" s="1"/>
  <c r="K20" i="1"/>
  <c r="K17" i="6" s="1"/>
  <c r="K21" i="1"/>
  <c r="K18" i="6" s="1"/>
  <c r="K22" i="1"/>
  <c r="K19" i="6" s="1"/>
  <c r="K23" i="1"/>
  <c r="K20" i="6" s="1"/>
  <c r="K13" i="1"/>
  <c r="K10" i="6" s="1"/>
  <c r="F73" i="2"/>
  <c r="BR7" i="4" l="1"/>
  <c r="BQ7" i="4"/>
  <c r="BU7" i="4"/>
  <c r="BT7" i="4"/>
  <c r="BS7" i="4"/>
  <c r="BV7" i="4"/>
  <c r="BP7" i="4"/>
  <c r="BO7" i="4"/>
  <c r="AO15" i="6"/>
  <c r="AR15" i="6"/>
  <c r="AO13" i="6"/>
  <c r="AR13" i="6"/>
  <c r="AO11" i="6"/>
  <c r="AR11" i="6"/>
  <c r="AR8" i="6"/>
  <c r="AR7" i="6"/>
  <c r="AR9" i="6"/>
  <c r="AR6" i="6"/>
  <c r="AO16" i="6"/>
  <c r="AR16" i="6"/>
  <c r="AO14" i="6"/>
  <c r="AR14" i="6"/>
  <c r="AO12" i="6"/>
  <c r="AR12" i="6"/>
  <c r="AO10" i="6"/>
  <c r="AR10" i="6"/>
  <c r="BG22" i="6"/>
  <c r="B2" i="3"/>
  <c r="B28" i="4" s="1"/>
  <c r="B2" i="7"/>
  <c r="BH10" i="6"/>
  <c r="BE7" i="4"/>
  <c r="BF7" i="4"/>
  <c r="BA8" i="4"/>
  <c r="BC7" i="4"/>
  <c r="N24" i="3"/>
  <c r="G15" i="3" s="1"/>
  <c r="B76" i="3"/>
  <c r="L10" i="6"/>
  <c r="AI10" i="6" s="1"/>
  <c r="P21" i="6"/>
  <c r="U21" i="6" s="1"/>
  <c r="Z21" i="6" s="1"/>
  <c r="P20" i="6"/>
  <c r="U20" i="6" s="1"/>
  <c r="AC20" i="6" s="1"/>
  <c r="P19" i="6"/>
  <c r="U19" i="6" s="1"/>
  <c r="Z19" i="6" s="1"/>
  <c r="P18" i="6"/>
  <c r="U18" i="6" s="1"/>
  <c r="AD18" i="6" s="1"/>
  <c r="P17" i="6"/>
  <c r="U17" i="6" s="1"/>
  <c r="Z17" i="6" s="1"/>
  <c r="P16" i="6"/>
  <c r="U16" i="6" s="1"/>
  <c r="P15" i="6"/>
  <c r="U15" i="6" s="1"/>
  <c r="Z15" i="6" s="1"/>
  <c r="P14" i="6"/>
  <c r="U14" i="6" s="1"/>
  <c r="W14" i="6" s="1"/>
  <c r="P13" i="6"/>
  <c r="U13" i="6" s="1"/>
  <c r="AF13" i="6" s="1"/>
  <c r="P12" i="6"/>
  <c r="U12" i="6" s="1"/>
  <c r="AF12" i="6" s="1"/>
  <c r="P11" i="6"/>
  <c r="U11" i="6" s="1"/>
  <c r="X11" i="6" s="1"/>
  <c r="AC11" i="6" s="1"/>
  <c r="P10" i="6"/>
  <c r="U10" i="6" s="1"/>
  <c r="Z10" i="6" s="1"/>
  <c r="BI11" i="6"/>
  <c r="BI22" i="6" s="1"/>
  <c r="S44" i="6" s="1"/>
  <c r="BH11" i="6"/>
  <c r="AB21" i="6"/>
  <c r="W20" i="6"/>
  <c r="AB19" i="6"/>
  <c r="W18" i="6"/>
  <c r="W17" i="6"/>
  <c r="W16" i="6"/>
  <c r="AA22" i="6"/>
  <c r="W27" i="7"/>
  <c r="AH20" i="6"/>
  <c r="AH18" i="6"/>
  <c r="AH16" i="6"/>
  <c r="AH21" i="6"/>
  <c r="AH19" i="6"/>
  <c r="AH17" i="6"/>
  <c r="AH13" i="6"/>
  <c r="BD6" i="6"/>
  <c r="AK13" i="6"/>
  <c r="AK14" i="6"/>
  <c r="AG14" i="6"/>
  <c r="AK12" i="6"/>
  <c r="AG12" i="6"/>
  <c r="AG10" i="6"/>
  <c r="AK10" i="6"/>
  <c r="AH14" i="6"/>
  <c r="AH12" i="6"/>
  <c r="AG15" i="6"/>
  <c r="AG13" i="6"/>
  <c r="AI14" i="6"/>
  <c r="AI12" i="6"/>
  <c r="AI20" i="6"/>
  <c r="AI18" i="6"/>
  <c r="AI16" i="6"/>
  <c r="AI15" i="6"/>
  <c r="AI13" i="6"/>
  <c r="AI21" i="6"/>
  <c r="AI19" i="6"/>
  <c r="AI17" i="6"/>
  <c r="AH15" i="6"/>
  <c r="K8" i="5"/>
  <c r="L8" i="5"/>
  <c r="J8" i="5"/>
  <c r="AI13" i="5"/>
  <c r="AI97" i="5"/>
  <c r="AI95" i="5"/>
  <c r="AI93" i="5"/>
  <c r="AI91" i="5"/>
  <c r="AI89" i="5"/>
  <c r="AI87" i="5"/>
  <c r="AI85" i="5"/>
  <c r="AI83" i="5"/>
  <c r="AI81" i="5"/>
  <c r="AI79" i="5"/>
  <c r="AI77" i="5"/>
  <c r="AI75" i="5"/>
  <c r="AI73" i="5"/>
  <c r="AI71" i="5"/>
  <c r="AI69" i="5"/>
  <c r="AI67" i="5"/>
  <c r="AI65" i="5"/>
  <c r="AI63" i="5"/>
  <c r="AI61" i="5"/>
  <c r="AI12" i="5"/>
  <c r="AI98" i="5"/>
  <c r="AI96" i="5"/>
  <c r="AI94" i="5"/>
  <c r="AI92" i="5"/>
  <c r="AI90" i="5"/>
  <c r="AI88" i="5"/>
  <c r="AI86" i="5"/>
  <c r="AI84" i="5"/>
  <c r="AI82" i="5"/>
  <c r="AI80" i="5"/>
  <c r="AI78" i="5"/>
  <c r="AI76" i="5"/>
  <c r="AI74" i="5"/>
  <c r="AI72" i="5"/>
  <c r="AI70" i="5"/>
  <c r="AI68" i="5"/>
  <c r="AI66" i="5"/>
  <c r="AI64" i="5"/>
  <c r="Y29" i="5"/>
  <c r="Y31" i="5"/>
  <c r="Y30" i="5"/>
  <c r="Y32" i="5"/>
  <c r="Y34" i="5"/>
  <c r="Y36" i="5"/>
  <c r="Y40" i="5"/>
  <c r="Y42" i="5"/>
  <c r="Y44" i="5"/>
  <c r="Y46" i="5"/>
  <c r="Y48" i="5"/>
  <c r="Y50" i="5"/>
  <c r="Y52" i="5"/>
  <c r="Z30" i="5"/>
  <c r="Z32" i="5"/>
  <c r="Z29" i="5"/>
  <c r="Z31" i="5"/>
  <c r="Z33" i="5"/>
  <c r="Z35" i="5"/>
  <c r="Z41" i="5"/>
  <c r="Z43" i="5"/>
  <c r="Z45" i="5"/>
  <c r="Z47" i="5"/>
  <c r="Z49" i="5"/>
  <c r="Z51" i="5"/>
  <c r="Z53" i="5"/>
  <c r="AA29" i="5"/>
  <c r="AA31" i="5"/>
  <c r="AA30" i="5"/>
  <c r="AA32" i="5"/>
  <c r="AA34" i="5"/>
  <c r="AA36" i="5"/>
  <c r="AA40" i="5"/>
  <c r="AA42" i="5"/>
  <c r="AA44" i="5"/>
  <c r="AA46" i="5"/>
  <c r="AA48" i="5"/>
  <c r="AA50" i="5"/>
  <c r="AA52" i="5"/>
  <c r="AF8" i="5"/>
  <c r="AF10" i="5"/>
  <c r="AA12" i="5"/>
  <c r="AA14" i="5"/>
  <c r="Y14" i="5"/>
  <c r="Z13" i="5"/>
  <c r="AA28" i="5"/>
  <c r="Y28" i="5"/>
  <c r="Z27" i="5"/>
  <c r="AA26" i="5"/>
  <c r="Y26" i="5"/>
  <c r="Z25" i="5"/>
  <c r="AA24" i="5"/>
  <c r="Y24" i="5"/>
  <c r="Z23" i="5"/>
  <c r="AA22" i="5"/>
  <c r="Y22" i="5"/>
  <c r="Z21" i="5"/>
  <c r="AA20" i="5"/>
  <c r="Y20" i="5"/>
  <c r="Z19" i="5"/>
  <c r="AA18" i="5"/>
  <c r="Y18" i="5"/>
  <c r="Z17" i="5"/>
  <c r="AA16" i="5"/>
  <c r="Y16" i="5"/>
  <c r="Z15" i="5"/>
  <c r="AA98" i="5"/>
  <c r="Y98" i="5"/>
  <c r="Z97" i="5"/>
  <c r="AA96" i="5"/>
  <c r="Y96" i="5"/>
  <c r="Z95" i="5"/>
  <c r="AA94" i="5"/>
  <c r="Y94" i="5"/>
  <c r="Z93" i="5"/>
  <c r="AA92" i="5"/>
  <c r="Y92" i="5"/>
  <c r="Z91" i="5"/>
  <c r="AA90" i="5"/>
  <c r="Y90" i="5"/>
  <c r="Z89" i="5"/>
  <c r="AA88" i="5"/>
  <c r="Y88" i="5"/>
  <c r="Z87" i="5"/>
  <c r="AA86" i="5"/>
  <c r="Y86" i="5"/>
  <c r="Z85" i="5"/>
  <c r="AA84" i="5"/>
  <c r="Y84" i="5"/>
  <c r="Z83" i="5"/>
  <c r="AA82" i="5"/>
  <c r="Y82" i="5"/>
  <c r="Z81" i="5"/>
  <c r="AA80" i="5"/>
  <c r="Y80" i="5"/>
  <c r="Z79" i="5"/>
  <c r="AA78" i="5"/>
  <c r="Y78" i="5"/>
  <c r="Z77" i="5"/>
  <c r="AA76" i="5"/>
  <c r="Y76" i="5"/>
  <c r="Z75" i="5"/>
  <c r="AA74" i="5"/>
  <c r="Y74" i="5"/>
  <c r="Z73" i="5"/>
  <c r="AA72" i="5"/>
  <c r="Y72" i="5"/>
  <c r="Z71" i="5"/>
  <c r="AA70" i="5"/>
  <c r="Y70" i="5"/>
  <c r="Z69" i="5"/>
  <c r="AA68" i="5"/>
  <c r="Y68" i="5"/>
  <c r="Z67" i="5"/>
  <c r="AA66" i="5"/>
  <c r="Y66" i="5"/>
  <c r="Z65" i="5"/>
  <c r="AA64" i="5"/>
  <c r="Y64" i="5"/>
  <c r="Z63" i="5"/>
  <c r="AA62" i="5"/>
  <c r="Y62" i="5"/>
  <c r="Z61" i="5"/>
  <c r="AA60" i="5"/>
  <c r="Y60" i="5"/>
  <c r="Z59" i="5"/>
  <c r="AA58" i="5"/>
  <c r="Y58" i="5"/>
  <c r="Z57" i="5"/>
  <c r="AA56" i="5"/>
  <c r="Y56" i="5"/>
  <c r="Z55" i="5"/>
  <c r="AA54" i="5"/>
  <c r="Y54" i="5"/>
  <c r="Y53" i="5"/>
  <c r="AA51" i="5"/>
  <c r="Z50" i="5"/>
  <c r="Y49" i="5"/>
  <c r="AA47" i="5"/>
  <c r="Z46" i="5"/>
  <c r="Y45" i="5"/>
  <c r="AA43" i="5"/>
  <c r="Z42" i="5"/>
  <c r="Y41" i="5"/>
  <c r="AA39" i="5"/>
  <c r="Y37" i="5"/>
  <c r="AA35" i="5"/>
  <c r="Z34" i="5"/>
  <c r="Y33" i="5"/>
  <c r="Z37" i="5"/>
  <c r="Z39" i="5"/>
  <c r="AF11" i="5"/>
  <c r="Q16" i="5" s="1"/>
  <c r="Z12" i="5"/>
  <c r="Y12" i="5"/>
  <c r="Z14" i="5"/>
  <c r="AA13" i="5"/>
  <c r="Y13" i="5"/>
  <c r="Z28" i="5"/>
  <c r="AA27" i="5"/>
  <c r="Y27" i="5"/>
  <c r="Z26" i="5"/>
  <c r="AA25" i="5"/>
  <c r="Y25" i="5"/>
  <c r="Z24" i="5"/>
  <c r="AA23" i="5"/>
  <c r="Y23" i="5"/>
  <c r="Z22" i="5"/>
  <c r="AA21" i="5"/>
  <c r="Y21" i="5"/>
  <c r="Z20" i="5"/>
  <c r="AA19" i="5"/>
  <c r="Y19" i="5"/>
  <c r="Z18" i="5"/>
  <c r="AA17" i="5"/>
  <c r="Y17" i="5"/>
  <c r="Z16" i="5"/>
  <c r="AA15" i="5"/>
  <c r="Y15" i="5"/>
  <c r="Z98" i="5"/>
  <c r="AA97" i="5"/>
  <c r="Y97" i="5"/>
  <c r="Z96" i="5"/>
  <c r="AA95" i="5"/>
  <c r="Y95" i="5"/>
  <c r="Z94" i="5"/>
  <c r="AA93" i="5"/>
  <c r="Y93" i="5"/>
  <c r="Z92" i="5"/>
  <c r="AA91" i="5"/>
  <c r="Y91" i="5"/>
  <c r="Z90" i="5"/>
  <c r="AA89" i="5"/>
  <c r="Y89" i="5"/>
  <c r="Z88" i="5"/>
  <c r="AA87" i="5"/>
  <c r="Y87" i="5"/>
  <c r="Z86" i="5"/>
  <c r="AA85" i="5"/>
  <c r="Y85" i="5"/>
  <c r="Z84" i="5"/>
  <c r="AA83" i="5"/>
  <c r="Y83" i="5"/>
  <c r="Z82" i="5"/>
  <c r="AA81" i="5"/>
  <c r="Y81" i="5"/>
  <c r="Z80" i="5"/>
  <c r="AA79" i="5"/>
  <c r="Y79" i="5"/>
  <c r="Z78" i="5"/>
  <c r="AA77" i="5"/>
  <c r="Y77" i="5"/>
  <c r="Z76" i="5"/>
  <c r="AA75" i="5"/>
  <c r="Y75" i="5"/>
  <c r="Z74" i="5"/>
  <c r="AA73" i="5"/>
  <c r="Y73" i="5"/>
  <c r="Z72" i="5"/>
  <c r="AA71" i="5"/>
  <c r="Y71" i="5"/>
  <c r="Z70" i="5"/>
  <c r="AA69" i="5"/>
  <c r="Y69" i="5"/>
  <c r="Z68" i="5"/>
  <c r="AA67" i="5"/>
  <c r="Y67" i="5"/>
  <c r="Z66" i="5"/>
  <c r="AA65" i="5"/>
  <c r="Y65" i="5"/>
  <c r="Z64" i="5"/>
  <c r="AA63" i="5"/>
  <c r="Y63" i="5"/>
  <c r="Z62" i="5"/>
  <c r="AA61" i="5"/>
  <c r="Y61" i="5"/>
  <c r="Z60" i="5"/>
  <c r="AA59" i="5"/>
  <c r="Y59" i="5"/>
  <c r="Z58" i="5"/>
  <c r="AA57" i="5"/>
  <c r="Y57" i="5"/>
  <c r="Z56" i="5"/>
  <c r="AA55" i="5"/>
  <c r="Y55" i="5"/>
  <c r="Z54" i="5"/>
  <c r="AA53" i="5"/>
  <c r="Z52" i="5"/>
  <c r="Y51" i="5"/>
  <c r="AA49" i="5"/>
  <c r="Z48" i="5"/>
  <c r="Y47" i="5"/>
  <c r="AA45" i="5"/>
  <c r="Z44" i="5"/>
  <c r="Y43" i="5"/>
  <c r="AA41" i="5"/>
  <c r="Z40" i="5"/>
  <c r="Y39" i="5"/>
  <c r="AA37" i="5"/>
  <c r="Z36" i="5"/>
  <c r="Y35" i="5"/>
  <c r="AA3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H14" i="5"/>
  <c r="AJ14" i="5" s="1"/>
  <c r="AH15" i="5"/>
  <c r="AJ15" i="5" s="1"/>
  <c r="AH16" i="5"/>
  <c r="AJ16" i="5" s="1"/>
  <c r="AH17" i="5"/>
  <c r="AJ17" i="5" s="1"/>
  <c r="AH18" i="5"/>
  <c r="AJ18" i="5" s="1"/>
  <c r="AH19" i="5"/>
  <c r="AJ19" i="5" s="1"/>
  <c r="AH20" i="5"/>
  <c r="AJ20" i="5" s="1"/>
  <c r="AH21" i="5"/>
  <c r="AJ21" i="5" s="1"/>
  <c r="AH22" i="5"/>
  <c r="AJ22" i="5" s="1"/>
  <c r="AH23" i="5"/>
  <c r="AJ23" i="5" s="1"/>
  <c r="AH24" i="5"/>
  <c r="AJ24" i="5" s="1"/>
  <c r="AH25" i="5"/>
  <c r="AJ25" i="5" s="1"/>
  <c r="AH26" i="5"/>
  <c r="AJ26" i="5" s="1"/>
  <c r="AH27" i="5"/>
  <c r="AJ27" i="5" s="1"/>
  <c r="AH28" i="5"/>
  <c r="AJ28" i="5" s="1"/>
  <c r="AH29" i="5"/>
  <c r="AJ29" i="5" s="1"/>
  <c r="AH30" i="5"/>
  <c r="AJ30" i="5" s="1"/>
  <c r="AH31" i="5"/>
  <c r="AJ31" i="5" s="1"/>
  <c r="AH32" i="5"/>
  <c r="AJ32" i="5" s="1"/>
  <c r="AH33" i="5"/>
  <c r="AJ33" i="5" s="1"/>
  <c r="AH34" i="5"/>
  <c r="AJ34" i="5" s="1"/>
  <c r="AH35" i="5"/>
  <c r="AJ35" i="5" s="1"/>
  <c r="AH36" i="5"/>
  <c r="AJ36" i="5" s="1"/>
  <c r="AH37" i="5"/>
  <c r="AJ37" i="5" s="1"/>
  <c r="AH38" i="5"/>
  <c r="AJ38" i="5" s="1"/>
  <c r="AH39" i="5"/>
  <c r="AJ39" i="5" s="1"/>
  <c r="AH40" i="5"/>
  <c r="AJ40" i="5" s="1"/>
  <c r="AH41" i="5"/>
  <c r="AJ41" i="5" s="1"/>
  <c r="AH42" i="5"/>
  <c r="AJ42" i="5" s="1"/>
  <c r="AH43" i="5"/>
  <c r="AJ43" i="5" s="1"/>
  <c r="AH44" i="5"/>
  <c r="AJ44" i="5" s="1"/>
  <c r="AH45" i="5"/>
  <c r="AJ45" i="5" s="1"/>
  <c r="AH46" i="5"/>
  <c r="AJ46" i="5" s="1"/>
  <c r="AH47" i="5"/>
  <c r="AJ47" i="5" s="1"/>
  <c r="AH48" i="5"/>
  <c r="AJ48" i="5" s="1"/>
  <c r="AH49" i="5"/>
  <c r="AJ49" i="5" s="1"/>
  <c r="AH50" i="5"/>
  <c r="AJ50" i="5" s="1"/>
  <c r="AH12" i="5"/>
  <c r="AJ12" i="5" s="1"/>
  <c r="AH13" i="5"/>
  <c r="AJ13" i="5" s="1"/>
  <c r="AH98" i="5"/>
  <c r="AJ98" i="5" s="1"/>
  <c r="AH97" i="5"/>
  <c r="AJ97" i="5" s="1"/>
  <c r="AH96" i="5"/>
  <c r="AJ96" i="5" s="1"/>
  <c r="AH95" i="5"/>
  <c r="AJ95" i="5" s="1"/>
  <c r="AH94" i="5"/>
  <c r="AJ94" i="5" s="1"/>
  <c r="AH93" i="5"/>
  <c r="AJ93" i="5" s="1"/>
  <c r="AH92" i="5"/>
  <c r="AJ92" i="5" s="1"/>
  <c r="AH91" i="5"/>
  <c r="AJ91" i="5" s="1"/>
  <c r="AH90" i="5"/>
  <c r="AJ90" i="5" s="1"/>
  <c r="AH89" i="5"/>
  <c r="AJ89" i="5" s="1"/>
  <c r="AH88" i="5"/>
  <c r="AJ88" i="5" s="1"/>
  <c r="AH87" i="5"/>
  <c r="AJ87" i="5" s="1"/>
  <c r="AH86" i="5"/>
  <c r="AJ86" i="5" s="1"/>
  <c r="AH85" i="5"/>
  <c r="AJ85" i="5" s="1"/>
  <c r="AH84" i="5"/>
  <c r="AJ84" i="5" s="1"/>
  <c r="AH83" i="5"/>
  <c r="AJ83" i="5" s="1"/>
  <c r="AH82" i="5"/>
  <c r="AJ82" i="5" s="1"/>
  <c r="AH81" i="5"/>
  <c r="AJ81" i="5" s="1"/>
  <c r="AH80" i="5"/>
  <c r="AJ80" i="5" s="1"/>
  <c r="AH79" i="5"/>
  <c r="AJ79" i="5" s="1"/>
  <c r="AH78" i="5"/>
  <c r="AJ78" i="5" s="1"/>
  <c r="AH77" i="5"/>
  <c r="AJ77" i="5" s="1"/>
  <c r="AH76" i="5"/>
  <c r="AJ76" i="5" s="1"/>
  <c r="AH75" i="5"/>
  <c r="AJ75" i="5" s="1"/>
  <c r="AH74" i="5"/>
  <c r="AJ74" i="5" s="1"/>
  <c r="AH73" i="5"/>
  <c r="AJ73" i="5" s="1"/>
  <c r="AH72" i="5"/>
  <c r="AJ72" i="5" s="1"/>
  <c r="AH71" i="5"/>
  <c r="AJ71" i="5" s="1"/>
  <c r="AH70" i="5"/>
  <c r="AJ70" i="5" s="1"/>
  <c r="AH69" i="5"/>
  <c r="AJ69" i="5" s="1"/>
  <c r="AH68" i="5"/>
  <c r="AJ68" i="5" s="1"/>
  <c r="AH67" i="5"/>
  <c r="AJ67" i="5" s="1"/>
  <c r="AH66" i="5"/>
  <c r="AJ66" i="5" s="1"/>
  <c r="AH65" i="5"/>
  <c r="AJ65" i="5" s="1"/>
  <c r="AH64" i="5"/>
  <c r="AJ64" i="5" s="1"/>
  <c r="AH63" i="5"/>
  <c r="AJ63" i="5" s="1"/>
  <c r="AH62" i="5"/>
  <c r="AJ62" i="5" s="1"/>
  <c r="AH61" i="5"/>
  <c r="AJ61" i="5" s="1"/>
  <c r="AH60" i="5"/>
  <c r="AJ60" i="5" s="1"/>
  <c r="AH59" i="5"/>
  <c r="AJ59" i="5" s="1"/>
  <c r="AH58" i="5"/>
  <c r="AJ58" i="5" s="1"/>
  <c r="AH57" i="5"/>
  <c r="AJ57" i="5" s="1"/>
  <c r="AH56" i="5"/>
  <c r="AJ56" i="5" s="1"/>
  <c r="AH55" i="5"/>
  <c r="AJ55" i="5" s="1"/>
  <c r="AH54" i="5"/>
  <c r="AJ54" i="5" s="1"/>
  <c r="AH52" i="5"/>
  <c r="AJ52" i="5" s="1"/>
  <c r="AI60" i="5"/>
  <c r="AI59" i="5"/>
  <c r="AI58" i="5"/>
  <c r="AI57" i="5"/>
  <c r="AI56" i="5"/>
  <c r="AI55" i="5"/>
  <c r="AI54" i="5"/>
  <c r="AH53" i="5"/>
  <c r="AJ53" i="5" s="1"/>
  <c r="AH51" i="5"/>
  <c r="AJ51" i="5" s="1"/>
  <c r="K76" i="2"/>
  <c r="AG11" i="1"/>
  <c r="F59" i="2"/>
  <c r="F58" i="2"/>
  <c r="F69" i="2" s="1"/>
  <c r="F57" i="2"/>
  <c r="F56" i="2"/>
  <c r="BW7" i="4" l="1"/>
  <c r="BZ7" i="4" s="1"/>
  <c r="BN8" i="4"/>
  <c r="BI8" i="4"/>
  <c r="BL8" i="4" s="1"/>
  <c r="X17" i="6"/>
  <c r="AB17" i="6"/>
  <c r="W19" i="6"/>
  <c r="Y19" i="6"/>
  <c r="X19" i="6"/>
  <c r="AF17" i="6"/>
  <c r="AF19" i="6"/>
  <c r="Y18" i="6"/>
  <c r="AC21" i="6"/>
  <c r="W21" i="6"/>
  <c r="AF21" i="6"/>
  <c r="Z13" i="6"/>
  <c r="Y15" i="6"/>
  <c r="AD15" i="6" s="1"/>
  <c r="X15" i="6"/>
  <c r="AC15" i="6" s="1"/>
  <c r="W15" i="6"/>
  <c r="AB15" i="6" s="1"/>
  <c r="AF15" i="6"/>
  <c r="X13" i="6"/>
  <c r="AC13" i="6" s="1"/>
  <c r="BH22" i="6"/>
  <c r="R44" i="6" s="1"/>
  <c r="T44" i="6" s="1"/>
  <c r="X18" i="6"/>
  <c r="Y17" i="6"/>
  <c r="Y21" i="6"/>
  <c r="X21" i="6"/>
  <c r="AC17" i="6"/>
  <c r="AC19" i="6"/>
  <c r="AD17" i="6"/>
  <c r="AD19" i="6"/>
  <c r="AD21" i="6"/>
  <c r="BB8" i="4"/>
  <c r="BJ8" i="4" s="1"/>
  <c r="W13" i="6"/>
  <c r="AB13" i="6" s="1"/>
  <c r="G16" i="3"/>
  <c r="Y13" i="6"/>
  <c r="AD13" i="6" s="1"/>
  <c r="AH10" i="6"/>
  <c r="Z12" i="6"/>
  <c r="W11" i="6"/>
  <c r="AB11" i="6" s="1"/>
  <c r="Y11" i="6"/>
  <c r="AD11" i="6" s="1"/>
  <c r="Z11" i="6"/>
  <c r="X14" i="6"/>
  <c r="AC14" i="6" s="1"/>
  <c r="Y10" i="6"/>
  <c r="AD10" i="6" s="1"/>
  <c r="Y14" i="6"/>
  <c r="AD14" i="6" s="1"/>
  <c r="AF10" i="6"/>
  <c r="Z14" i="6"/>
  <c r="AF14" i="6"/>
  <c r="Z16" i="6"/>
  <c r="AF16" i="6"/>
  <c r="AZ13" i="6" s="1"/>
  <c r="Z18" i="6"/>
  <c r="AF18" i="6"/>
  <c r="Z20" i="6"/>
  <c r="AF20" i="6"/>
  <c r="W10" i="6"/>
  <c r="AB10" i="6" s="1"/>
  <c r="AC18" i="6"/>
  <c r="G57" i="2"/>
  <c r="AF11" i="6"/>
  <c r="X10" i="6"/>
  <c r="AC10" i="6" s="1"/>
  <c r="X12" i="6"/>
  <c r="X16" i="6"/>
  <c r="AC16" i="6" s="1"/>
  <c r="X20" i="6"/>
  <c r="W12" i="6"/>
  <c r="AB12" i="6" s="1"/>
  <c r="Y12" i="6"/>
  <c r="AD12" i="6" s="1"/>
  <c r="Y16" i="6"/>
  <c r="Y20" i="6"/>
  <c r="AB14" i="6"/>
  <c r="AB16" i="6"/>
  <c r="AD16" i="6"/>
  <c r="AB18" i="6"/>
  <c r="AB20" i="6"/>
  <c r="AD20" i="6"/>
  <c r="Q15" i="5"/>
  <c r="AB6" i="6"/>
  <c r="BC6" i="6"/>
  <c r="AK11" i="6"/>
  <c r="AK22" i="6" s="1"/>
  <c r="S32" i="6" s="1"/>
  <c r="AG11" i="6"/>
  <c r="AG22" i="6" s="1"/>
  <c r="BA20" i="6" s="1"/>
  <c r="AH11" i="6"/>
  <c r="AI11" i="6"/>
  <c r="AI22" i="6" s="1"/>
  <c r="AS20" i="6" s="1"/>
  <c r="Q17" i="5"/>
  <c r="Q19" i="5"/>
  <c r="Q23" i="5"/>
  <c r="Q22" i="5"/>
  <c r="Q26" i="5"/>
  <c r="Q18" i="5"/>
  <c r="Q20" i="5"/>
  <c r="Q25" i="5"/>
  <c r="Q24" i="5"/>
  <c r="Q21" i="5"/>
  <c r="AJ4" i="5"/>
  <c r="F70" i="2"/>
  <c r="D29" i="2"/>
  <c r="D31" i="2" s="1"/>
  <c r="BP8" i="4" l="1"/>
  <c r="BO8" i="4"/>
  <c r="BS8" i="4"/>
  <c r="BV8" i="4"/>
  <c r="BQ8" i="4"/>
  <c r="BU8" i="4"/>
  <c r="BT8" i="4"/>
  <c r="BR8" i="4"/>
  <c r="AF22" i="6"/>
  <c r="R32" i="6" s="1"/>
  <c r="T32" i="6" s="1"/>
  <c r="N51" i="2"/>
  <c r="AW38" i="4"/>
  <c r="Z22" i="6"/>
  <c r="AH22" i="6"/>
  <c r="AP20" i="6" s="1"/>
  <c r="AZ6" i="5"/>
  <c r="AY6" i="5"/>
  <c r="AX6" i="5"/>
  <c r="BA9" i="4"/>
  <c r="BC8" i="4"/>
  <c r="BD8" i="4" s="1"/>
  <c r="BE8" i="4" s="1"/>
  <c r="W22" i="6"/>
  <c r="AZ14" i="6"/>
  <c r="AD22" i="6"/>
  <c r="AR20" i="6" s="1"/>
  <c r="AB22" i="6"/>
  <c r="AZ20" i="6" s="1"/>
  <c r="X22" i="6"/>
  <c r="AC12" i="6"/>
  <c r="AC22" i="6" s="1"/>
  <c r="AO20" i="6" s="1"/>
  <c r="Y22" i="6"/>
  <c r="R48" i="6"/>
  <c r="M6" i="5"/>
  <c r="J6" i="5"/>
  <c r="AH7" i="1"/>
  <c r="AH14" i="1"/>
  <c r="AH15" i="1"/>
  <c r="AH16" i="1"/>
  <c r="AH17" i="1"/>
  <c r="AH18" i="1"/>
  <c r="AH19" i="1"/>
  <c r="AH20" i="1"/>
  <c r="AH21" i="1"/>
  <c r="AI21" i="1" s="1"/>
  <c r="AH22" i="1"/>
  <c r="AH23" i="1"/>
  <c r="AI23" i="1" s="1"/>
  <c r="AH24" i="1"/>
  <c r="AH13" i="1"/>
  <c r="AI13" i="1" s="1"/>
  <c r="AI19" i="1" l="1"/>
  <c r="AI17" i="1"/>
  <c r="BF8" i="4"/>
  <c r="BH8" i="4" s="1"/>
  <c r="BW8" i="4"/>
  <c r="BZ8" i="4" s="1"/>
  <c r="BN9" i="4"/>
  <c r="BI9" i="4"/>
  <c r="BL9" i="4" s="1"/>
  <c r="AZ15" i="6"/>
  <c r="AS9" i="6"/>
  <c r="AS11" i="6"/>
  <c r="AS13" i="6"/>
  <c r="AS15" i="6"/>
  <c r="AS5" i="6"/>
  <c r="AS6" i="6"/>
  <c r="AS10" i="6"/>
  <c r="AS12" i="6"/>
  <c r="AS14" i="6"/>
  <c r="AS16" i="6"/>
  <c r="AU46" i="4"/>
  <c r="Z37" i="4"/>
  <c r="BB9" i="4"/>
  <c r="BJ9" i="4" s="1"/>
  <c r="BD9" i="4"/>
  <c r="BH9" i="4" s="1"/>
  <c r="J16" i="5"/>
  <c r="J20" i="5"/>
  <c r="J24" i="5"/>
  <c r="J17" i="5"/>
  <c r="J21" i="5"/>
  <c r="J18" i="5"/>
  <c r="J22" i="5"/>
  <c r="J26" i="5"/>
  <c r="J19" i="5"/>
  <c r="J23" i="5"/>
  <c r="J15" i="5"/>
  <c r="J25" i="5"/>
  <c r="M15" i="5"/>
  <c r="M21" i="5"/>
  <c r="M22" i="5"/>
  <c r="M23" i="5"/>
  <c r="M24" i="5"/>
  <c r="M25" i="5"/>
  <c r="M26" i="5"/>
  <c r="M20" i="5"/>
  <c r="M19" i="5"/>
  <c r="M18" i="5"/>
  <c r="M17" i="5"/>
  <c r="M16" i="5"/>
  <c r="L6" i="5"/>
  <c r="K6" i="5"/>
  <c r="O6" i="5"/>
  <c r="N6" i="5"/>
  <c r="AI15" i="1"/>
  <c r="AJ24" i="1"/>
  <c r="AJ22" i="1"/>
  <c r="AJ20" i="1"/>
  <c r="AJ18" i="1"/>
  <c r="AJ16" i="1"/>
  <c r="AJ14" i="1"/>
  <c r="AI24" i="1"/>
  <c r="AI22" i="1"/>
  <c r="AI20" i="1"/>
  <c r="AI18" i="1"/>
  <c r="AI16" i="1"/>
  <c r="AI14" i="1"/>
  <c r="AJ13" i="1"/>
  <c r="AJ23" i="1"/>
  <c r="AJ21" i="1"/>
  <c r="AJ19" i="1"/>
  <c r="AJ17" i="1"/>
  <c r="AJ15" i="1"/>
  <c r="AF11" i="1"/>
  <c r="AE11" i="1"/>
  <c r="Y9" i="2"/>
  <c r="Y10" i="2"/>
  <c r="Y11" i="2"/>
  <c r="Y12" i="2"/>
  <c r="Y13" i="2"/>
  <c r="Y14" i="2"/>
  <c r="Y8" i="2"/>
  <c r="G11" i="2"/>
  <c r="F12" i="2" s="1"/>
  <c r="G12" i="2" s="1"/>
  <c r="Q10" i="2"/>
  <c r="Q11" i="2"/>
  <c r="Q12" i="2"/>
  <c r="Q9" i="2"/>
  <c r="M19" i="2"/>
  <c r="M18" i="2"/>
  <c r="M17" i="2"/>
  <c r="M16" i="2"/>
  <c r="M15" i="2"/>
  <c r="M14" i="2"/>
  <c r="M13" i="2"/>
  <c r="M12" i="2"/>
  <c r="M11" i="2"/>
  <c r="M10" i="2"/>
  <c r="M9" i="2"/>
  <c r="M8" i="2"/>
  <c r="BS9" i="4" l="1"/>
  <c r="BV9" i="4"/>
  <c r="BQ9" i="4"/>
  <c r="BU9" i="4"/>
  <c r="BT9" i="4"/>
  <c r="BR9" i="4"/>
  <c r="BP9" i="4"/>
  <c r="BO9" i="4"/>
  <c r="AZ16" i="6"/>
  <c r="AS8" i="6"/>
  <c r="W25" i="1"/>
  <c r="F61" i="2" s="1"/>
  <c r="BE9" i="4"/>
  <c r="BF9" i="4"/>
  <c r="BA10" i="4"/>
  <c r="BC9" i="4"/>
  <c r="H12" i="2"/>
  <c r="F13" i="2"/>
  <c r="G13" i="2" s="1"/>
  <c r="H13" i="2" s="1"/>
  <c r="O21" i="5"/>
  <c r="O23" i="5"/>
  <c r="O25" i="5"/>
  <c r="O22" i="5"/>
  <c r="O24" i="5"/>
  <c r="O26" i="5"/>
  <c r="O20" i="5"/>
  <c r="O19" i="5"/>
  <c r="O17" i="5"/>
  <c r="O18" i="5"/>
  <c r="O16" i="5"/>
  <c r="O15" i="5"/>
  <c r="L15" i="5"/>
  <c r="L21" i="5"/>
  <c r="L22" i="5"/>
  <c r="L23" i="5"/>
  <c r="L24" i="5"/>
  <c r="L25" i="5"/>
  <c r="L26" i="5"/>
  <c r="L19" i="5"/>
  <c r="L17" i="5"/>
  <c r="L20" i="5"/>
  <c r="L18" i="5"/>
  <c r="L16" i="5"/>
  <c r="N15" i="5"/>
  <c r="N21" i="5"/>
  <c r="N22" i="5"/>
  <c r="N23" i="5"/>
  <c r="N24" i="5"/>
  <c r="N25" i="5"/>
  <c r="N26" i="5"/>
  <c r="N20" i="5"/>
  <c r="N18" i="5"/>
  <c r="N16" i="5"/>
  <c r="N19" i="5"/>
  <c r="N17" i="5"/>
  <c r="K15" i="5"/>
  <c r="K21" i="5"/>
  <c r="K22" i="5"/>
  <c r="K23" i="5"/>
  <c r="P23" i="5" s="1"/>
  <c r="K24" i="5"/>
  <c r="P24" i="5" s="1"/>
  <c r="K25" i="5"/>
  <c r="K26" i="5"/>
  <c r="K19" i="5"/>
  <c r="K18" i="5"/>
  <c r="K17" i="5"/>
  <c r="K16" i="5"/>
  <c r="K20" i="5"/>
  <c r="AE14" i="1"/>
  <c r="AE16" i="1"/>
  <c r="AE18" i="1"/>
  <c r="AE20" i="1"/>
  <c r="AE22" i="1"/>
  <c r="AE24" i="1"/>
  <c r="AE15" i="1"/>
  <c r="AE17" i="1"/>
  <c r="AE21" i="1"/>
  <c r="AE23" i="1"/>
  <c r="AE19" i="1"/>
  <c r="Y16" i="2"/>
  <c r="Y15" i="2"/>
  <c r="H11" i="2"/>
  <c r="BN10" i="4" l="1"/>
  <c r="BI10" i="4"/>
  <c r="BL10" i="4" s="1"/>
  <c r="BW9" i="4"/>
  <c r="BZ9" i="4" s="1"/>
  <c r="Y21" i="2"/>
  <c r="M21" i="2"/>
  <c r="AS21" i="6"/>
  <c r="S26" i="6" s="1"/>
  <c r="AS7" i="6"/>
  <c r="AR21" i="6" s="1"/>
  <c r="R26" i="6" s="1"/>
  <c r="AE30" i="6"/>
  <c r="BB10" i="4"/>
  <c r="BJ10" i="4" s="1"/>
  <c r="BD10" i="4"/>
  <c r="P19" i="5"/>
  <c r="P25" i="5"/>
  <c r="P18" i="5"/>
  <c r="P26" i="5"/>
  <c r="P22" i="5"/>
  <c r="P15" i="5"/>
  <c r="P20" i="5"/>
  <c r="P17" i="5"/>
  <c r="P21" i="5"/>
  <c r="P16" i="5"/>
  <c r="Y17" i="2"/>
  <c r="BS10" i="4" l="1"/>
  <c r="BV10" i="4"/>
  <c r="BQ10" i="4"/>
  <c r="BU10" i="4"/>
  <c r="BT10" i="4"/>
  <c r="BR10" i="4"/>
  <c r="BP10" i="4"/>
  <c r="BO10" i="4"/>
  <c r="BE10" i="4"/>
  <c r="BF10" i="4"/>
  <c r="BH10" i="4" s="1"/>
  <c r="BA11" i="4"/>
  <c r="BC10" i="4"/>
  <c r="Y19" i="2"/>
  <c r="Y18" i="2"/>
  <c r="BW10" i="4" l="1"/>
  <c r="BZ10" i="4" s="1"/>
  <c r="BN11" i="4"/>
  <c r="BI11" i="4"/>
  <c r="BL11" i="4" s="1"/>
  <c r="BB11" i="4"/>
  <c r="BJ11" i="4" s="1"/>
  <c r="BD11" i="4"/>
  <c r="F14" i="2"/>
  <c r="BV11" i="4" l="1"/>
  <c r="BQ11" i="4"/>
  <c r="BU11" i="4"/>
  <c r="BT11" i="4"/>
  <c r="BS11" i="4"/>
  <c r="BR11" i="4"/>
  <c r="BO11" i="4"/>
  <c r="BP11" i="4"/>
  <c r="BE11" i="4"/>
  <c r="BF11" i="4"/>
  <c r="BH11" i="4" s="1"/>
  <c r="BA12" i="4"/>
  <c r="BC11" i="4"/>
  <c r="G14" i="2"/>
  <c r="BN12" i="4" l="1"/>
  <c r="BI12" i="4"/>
  <c r="BL12" i="4" s="1"/>
  <c r="BW11" i="4"/>
  <c r="BZ11" i="4" s="1"/>
  <c r="BB12" i="4"/>
  <c r="BJ12" i="4" s="1"/>
  <c r="BD12" i="4"/>
  <c r="BH12" i="4" s="1"/>
  <c r="F15" i="2"/>
  <c r="H14" i="2"/>
  <c r="BS12" i="4" l="1"/>
  <c r="BR12" i="4"/>
  <c r="BV12" i="4"/>
  <c r="BQ12" i="4"/>
  <c r="BU12" i="4"/>
  <c r="BT12" i="4"/>
  <c r="BP12" i="4"/>
  <c r="BO12" i="4"/>
  <c r="BA13" i="4"/>
  <c r="BC12" i="4"/>
  <c r="BE12" i="4"/>
  <c r="BF12" i="4"/>
  <c r="G15" i="2"/>
  <c r="BW12" i="4" l="1"/>
  <c r="BZ12" i="4" s="1"/>
  <c r="BN13" i="4"/>
  <c r="BI13" i="4"/>
  <c r="BL13" i="4" s="1"/>
  <c r="BB13" i="4"/>
  <c r="BJ13" i="4" s="1"/>
  <c r="F16" i="2"/>
  <c r="H15" i="2"/>
  <c r="BS13" i="4" l="1"/>
  <c r="BV13" i="4"/>
  <c r="BQ13" i="4"/>
  <c r="BU13" i="4"/>
  <c r="BT13" i="4"/>
  <c r="BR13" i="4"/>
  <c r="BP13" i="4"/>
  <c r="BO13" i="4"/>
  <c r="BA14" i="4"/>
  <c r="BC13" i="4"/>
  <c r="BD13" i="4" s="1"/>
  <c r="BH13" i="4" s="1"/>
  <c r="G16" i="2"/>
  <c r="BN14" i="4" l="1"/>
  <c r="BI14" i="4"/>
  <c r="BL14" i="4" s="1"/>
  <c r="BW13" i="4"/>
  <c r="BZ13" i="4" s="1"/>
  <c r="BB14" i="4"/>
  <c r="BC14" i="4" s="1"/>
  <c r="BD14" i="4" s="1"/>
  <c r="BH14" i="4" s="1"/>
  <c r="BH15" i="4" s="1"/>
  <c r="BM43" i="4" s="1"/>
  <c r="BN44" i="4" s="1"/>
  <c r="BE13" i="4"/>
  <c r="BF13" i="4"/>
  <c r="F17" i="2"/>
  <c r="H16" i="2"/>
  <c r="BJ14" i="4" l="1"/>
  <c r="BP14" i="4"/>
  <c r="BO14" i="4"/>
  <c r="BN43" i="4"/>
  <c r="BE14" i="4"/>
  <c r="BE15" i="4" s="1"/>
  <c r="BI39" i="4" s="1"/>
  <c r="BI49" i="4" s="1"/>
  <c r="BF14" i="4"/>
  <c r="BF15" i="4" s="1"/>
  <c r="BJ39" i="4" s="1"/>
  <c r="BJ49" i="4" s="1"/>
  <c r="BD15" i="4"/>
  <c r="P11" i="4" s="1"/>
  <c r="G17" i="2"/>
  <c r="BQ14" i="4" l="1"/>
  <c r="BS14" i="4"/>
  <c r="BR14" i="4"/>
  <c r="BT14" i="4"/>
  <c r="BI55" i="4"/>
  <c r="BI61" i="4" s="1"/>
  <c r="BI67" i="4" s="1"/>
  <c r="BQ49" i="4"/>
  <c r="BJ55" i="4"/>
  <c r="BJ61" i="4" s="1"/>
  <c r="BJ67" i="4" s="1"/>
  <c r="BR49" i="4"/>
  <c r="BQ39" i="4"/>
  <c r="BI38" i="4"/>
  <c r="BI48" i="4" s="1"/>
  <c r="BI40" i="4"/>
  <c r="BI50" i="4" s="1"/>
  <c r="BJ40" i="4"/>
  <c r="BR39" i="4"/>
  <c r="BJ38" i="4"/>
  <c r="BJ48" i="4" s="1"/>
  <c r="BK39" i="4"/>
  <c r="BK49" i="4" s="1"/>
  <c r="BK55" i="4" s="1"/>
  <c r="BK61" i="4" s="1"/>
  <c r="BK67" i="4" s="1"/>
  <c r="Y15" i="4"/>
  <c r="AA15" i="4" s="1"/>
  <c r="Y16" i="4"/>
  <c r="AA16" i="4" s="1"/>
  <c r="Y17" i="4"/>
  <c r="Y18" i="4"/>
  <c r="Y19" i="4"/>
  <c r="Y20" i="4"/>
  <c r="Y21" i="4"/>
  <c r="Y22" i="4"/>
  <c r="Y23" i="4"/>
  <c r="Y24" i="4"/>
  <c r="Y25" i="4"/>
  <c r="Y26" i="4"/>
  <c r="X16" i="4"/>
  <c r="Z16" i="4" s="1"/>
  <c r="X17" i="4"/>
  <c r="X18" i="4"/>
  <c r="X19" i="4"/>
  <c r="X20" i="4"/>
  <c r="X21" i="4"/>
  <c r="X22" i="4"/>
  <c r="X23" i="4"/>
  <c r="X24" i="4"/>
  <c r="X25" i="4"/>
  <c r="X26" i="4"/>
  <c r="X15" i="4"/>
  <c r="Z15" i="4" s="1"/>
  <c r="F18" i="2"/>
  <c r="H17" i="2"/>
  <c r="AB16" i="4" l="1"/>
  <c r="AA27" i="4"/>
  <c r="BJ54" i="4"/>
  <c r="BJ60" i="4" s="1"/>
  <c r="BJ66" i="4" s="1"/>
  <c r="BR48" i="4"/>
  <c r="BI54" i="4"/>
  <c r="BI60" i="4" s="1"/>
  <c r="BI66" i="4" s="1"/>
  <c r="BQ48" i="4"/>
  <c r="BU49" i="4"/>
  <c r="BS49" i="4"/>
  <c r="BN50" i="4"/>
  <c r="BT49" i="4"/>
  <c r="BI56" i="4"/>
  <c r="BI62" i="4" s="1"/>
  <c r="BI68" i="4" s="1"/>
  <c r="BQ50" i="4"/>
  <c r="BT50" i="4" s="1"/>
  <c r="BG40" i="4"/>
  <c r="BG50" i="4" s="1"/>
  <c r="BR40" i="4"/>
  <c r="BU40" i="4" s="1"/>
  <c r="BJ50" i="4"/>
  <c r="BG39" i="4"/>
  <c r="BQ38" i="4"/>
  <c r="BS39" i="4"/>
  <c r="BU39" i="4"/>
  <c r="BT39" i="4"/>
  <c r="BN40" i="4"/>
  <c r="BR38" i="4"/>
  <c r="BU38" i="4" s="1"/>
  <c r="BK38" i="4"/>
  <c r="BK48" i="4" s="1"/>
  <c r="BK54" i="4" s="1"/>
  <c r="BK60" i="4" s="1"/>
  <c r="BK66" i="4" s="1"/>
  <c r="BK40" i="4"/>
  <c r="BK50" i="4" s="1"/>
  <c r="BK56" i="4" s="1"/>
  <c r="BK62" i="4" s="1"/>
  <c r="BK68" i="4" s="1"/>
  <c r="BQ40" i="4"/>
  <c r="BT40" i="4" s="1"/>
  <c r="BG38" i="4"/>
  <c r="BG48" i="4" s="1"/>
  <c r="BG54" i="4" s="1"/>
  <c r="Z27" i="4"/>
  <c r="AB15" i="4"/>
  <c r="G18" i="2"/>
  <c r="AB27" i="4" l="1"/>
  <c r="BG49" i="4"/>
  <c r="BG55" i="4" s="1"/>
  <c r="BG61" i="4" s="1"/>
  <c r="BG67" i="4" s="1"/>
  <c r="BL67" i="4" s="1"/>
  <c r="BS40" i="4"/>
  <c r="BJ56" i="4"/>
  <c r="BJ62" i="4" s="1"/>
  <c r="BJ68" i="4" s="1"/>
  <c r="BR50" i="4"/>
  <c r="BW49" i="4"/>
  <c r="BY49" i="4"/>
  <c r="BT48" i="4"/>
  <c r="BX49" i="4" s="1"/>
  <c r="BN48" i="4"/>
  <c r="BU48" i="4"/>
  <c r="BS48" i="4"/>
  <c r="BG56" i="4"/>
  <c r="BG62" i="4" s="1"/>
  <c r="BG60" i="4"/>
  <c r="BG51" i="4"/>
  <c r="BG57" i="4" s="1"/>
  <c r="BG63" i="4" s="1"/>
  <c r="BG69" i="4" s="1"/>
  <c r="BL48" i="4"/>
  <c r="BW39" i="4"/>
  <c r="BY39" i="4"/>
  <c r="BN38" i="4"/>
  <c r="BT38" i="4"/>
  <c r="BX39" i="4" s="1"/>
  <c r="BG41" i="4"/>
  <c r="BS38" i="4"/>
  <c r="F19" i="2"/>
  <c r="H18" i="2"/>
  <c r="BP48" i="4" l="1"/>
  <c r="BU50" i="4"/>
  <c r="BS50" i="4"/>
  <c r="BP50" i="4" s="1"/>
  <c r="BN49" i="4"/>
  <c r="BN39" i="4"/>
  <c r="BG68" i="4"/>
  <c r="BL68" i="4" s="1"/>
  <c r="BG66" i="4"/>
  <c r="BL66" i="4" s="1"/>
  <c r="BG46" i="4"/>
  <c r="G19" i="2"/>
  <c r="BN41" i="4" l="1"/>
  <c r="BN51" i="4"/>
  <c r="BL69" i="4"/>
  <c r="F20" i="2"/>
  <c r="H19" i="2"/>
  <c r="G20" i="2" l="1"/>
  <c r="F21" i="2" l="1"/>
  <c r="H20" i="2"/>
  <c r="G21" i="2" l="1"/>
  <c r="F22" i="2" l="1"/>
  <c r="H21" i="2"/>
  <c r="G22" i="2" l="1"/>
  <c r="H22" i="2" s="1"/>
  <c r="F3" i="2" l="1"/>
  <c r="AF20" i="2" s="1"/>
  <c r="F2" i="2"/>
  <c r="F8" i="2" l="1"/>
  <c r="F5" i="2"/>
  <c r="F6" i="2" s="1"/>
  <c r="AD20" i="2"/>
  <c r="X38" i="1"/>
  <c r="L7" i="3"/>
  <c r="M7" i="3" s="1"/>
  <c r="I12" i="2"/>
  <c r="I13" i="2"/>
  <c r="I11" i="2"/>
  <c r="I14" i="2"/>
  <c r="I15" i="2"/>
  <c r="I16" i="2"/>
  <c r="I17" i="2"/>
  <c r="I18" i="2"/>
  <c r="I19" i="2"/>
  <c r="I20" i="2"/>
  <c r="I21" i="2"/>
  <c r="I22" i="2"/>
  <c r="Z37" i="1" l="1"/>
  <c r="R4" i="1" s="1"/>
  <c r="Q3" i="3" s="1"/>
  <c r="I23" i="2"/>
  <c r="T8" i="2" l="1"/>
  <c r="AU2" i="6"/>
  <c r="T11" i="2"/>
  <c r="T13" i="2"/>
  <c r="T15" i="2"/>
  <c r="T17" i="2"/>
  <c r="T19" i="2"/>
  <c r="T10" i="2"/>
  <c r="T12" i="2"/>
  <c r="T14" i="2"/>
  <c r="T16" i="2"/>
  <c r="T18" i="2"/>
  <c r="T9" i="2"/>
  <c r="F9" i="2"/>
  <c r="U10" i="4" s="1"/>
  <c r="AL4" i="6" l="1"/>
  <c r="N2" i="3"/>
  <c r="O3" i="5"/>
  <c r="C40" i="3" l="1"/>
  <c r="C41" i="3"/>
  <c r="B9" i="5"/>
  <c r="B8" i="5"/>
  <c r="I44" i="3"/>
  <c r="Q14" i="4" s="1"/>
  <c r="B43" i="3"/>
  <c r="D44" i="3"/>
  <c r="BE55" i="4" l="1"/>
  <c r="AR31" i="4"/>
  <c r="AR32" i="4"/>
  <c r="BL56" i="4" l="1"/>
  <c r="BL54" i="4"/>
  <c r="BL55" i="4"/>
  <c r="B48" i="4"/>
  <c r="N66" i="2"/>
  <c r="Q66" i="2"/>
  <c r="O66" i="2"/>
  <c r="R66" i="2"/>
  <c r="AJ11" i="6"/>
  <c r="AE11" i="6"/>
  <c r="AJ12" i="6"/>
  <c r="AE12" i="6"/>
  <c r="AJ13" i="6"/>
  <c r="AE13" i="6"/>
  <c r="AJ14" i="6"/>
  <c r="AE14" i="6"/>
  <c r="AJ15" i="6"/>
  <c r="AE15" i="6"/>
  <c r="AE20" i="6"/>
  <c r="AJ20" i="6"/>
  <c r="AE18" i="6"/>
  <c r="AJ18" i="6"/>
  <c r="AE16" i="6"/>
  <c r="AJ16" i="6"/>
  <c r="AE21" i="6"/>
  <c r="AJ21" i="6"/>
  <c r="AE19" i="6"/>
  <c r="AJ19" i="6"/>
  <c r="AE17" i="6"/>
  <c r="AJ17" i="6"/>
  <c r="AJ10" i="6"/>
  <c r="Z25" i="1"/>
  <c r="AE10" i="6"/>
  <c r="BL57" i="4" l="1"/>
  <c r="BL58" i="4" s="1"/>
  <c r="Q48" i="4" s="1"/>
  <c r="R48" i="4" s="1"/>
  <c r="AE22" i="6"/>
  <c r="AB23" i="6" s="1"/>
  <c r="AJ22" i="6"/>
  <c r="AV21" i="6" s="1"/>
  <c r="S27" i="6" s="1"/>
  <c r="AU21" i="6" l="1"/>
  <c r="R27" i="6" s="1"/>
  <c r="AG23" i="6"/>
  <c r="S22" i="6" s="1"/>
  <c r="R22" i="6"/>
  <c r="AM30" i="6" l="1"/>
  <c r="BA2" i="6"/>
  <c r="BA15" i="6" s="1"/>
  <c r="AP2" i="6"/>
  <c r="AP16" i="6" s="1"/>
  <c r="BK22" i="6"/>
  <c r="AH33" i="6" l="1"/>
  <c r="AO30" i="6"/>
  <c r="AP6" i="6"/>
  <c r="BA9" i="6"/>
  <c r="AP15" i="6"/>
  <c r="BA6" i="6"/>
  <c r="AP9" i="6"/>
  <c r="BA13" i="6"/>
  <c r="BA11" i="6"/>
  <c r="BA5" i="6"/>
  <c r="BA10" i="6"/>
  <c r="BA16" i="6"/>
  <c r="BA7" i="6"/>
  <c r="BA12" i="6"/>
  <c r="BA14" i="6"/>
  <c r="BA8" i="6"/>
  <c r="AP13" i="6"/>
  <c r="AP7" i="6"/>
  <c r="AP8" i="6"/>
  <c r="AP5" i="6"/>
  <c r="AP14" i="6"/>
  <c r="AP11" i="6"/>
  <c r="AP10" i="6"/>
  <c r="AP12" i="6"/>
  <c r="Q30" i="6" l="1"/>
  <c r="R30" i="6" s="1"/>
  <c r="S30" i="6" s="1"/>
  <c r="T30" i="6" s="1"/>
  <c r="AP17" i="6"/>
  <c r="AO21" i="6" s="1"/>
  <c r="R25" i="6" s="1"/>
  <c r="BA17" i="6"/>
  <c r="BA21" i="6" s="1"/>
  <c r="S24" i="6" s="1"/>
  <c r="AP21" i="6" l="1"/>
  <c r="S25" i="6" s="1"/>
  <c r="S28" i="6" s="1"/>
  <c r="S34" i="6" s="1"/>
  <c r="AZ21" i="6"/>
  <c r="R24" i="6" s="1"/>
  <c r="R28" i="6" s="1"/>
  <c r="T28" i="6" l="1"/>
  <c r="T34" i="6" s="1"/>
  <c r="R34" i="6"/>
  <c r="R54" i="6" l="1"/>
  <c r="R53" i="6"/>
  <c r="R39" i="6"/>
  <c r="R49" i="6" l="1"/>
  <c r="R50" i="6" s="1"/>
  <c r="R43" i="6"/>
  <c r="BL70" i="4" l="1"/>
  <c r="Q53" i="4" s="1"/>
  <c r="R53" i="4" l="1"/>
  <c r="R57" i="6" l="1"/>
  <c r="T57" i="6" s="1"/>
  <c r="BL57" i="6" s="1"/>
  <c r="S39" i="6"/>
  <c r="S43" i="6" s="1"/>
  <c r="S56" i="6" s="1"/>
  <c r="R55" i="6"/>
  <c r="S53" i="6"/>
  <c r="S54" i="6"/>
  <c r="T54" i="6" s="1"/>
  <c r="S48" i="6"/>
  <c r="T39" i="6" l="1"/>
  <c r="T43" i="6" s="1"/>
  <c r="S61" i="6"/>
  <c r="R61" i="6"/>
  <c r="R60" i="6"/>
  <c r="S58" i="6"/>
  <c r="T58" i="6" s="1"/>
  <c r="BM58" i="6" s="1"/>
  <c r="S62" i="6"/>
  <c r="R62" i="6"/>
  <c r="S60" i="6"/>
  <c r="S59" i="6"/>
  <c r="R59" i="6"/>
  <c r="R56" i="6"/>
  <c r="X56" i="6" s="1"/>
  <c r="S55" i="6"/>
  <c r="S49" i="6"/>
  <c r="S50" i="6" s="1"/>
  <c r="T53" i="6"/>
  <c r="BG53" i="6"/>
  <c r="BG57" i="6"/>
  <c r="BG54" i="6"/>
  <c r="T55" i="6" l="1"/>
  <c r="BO55" i="6" s="1"/>
  <c r="AG12" i="7"/>
  <c r="BG56" i="6"/>
  <c r="BG58" i="6"/>
  <c r="BG60" i="6"/>
  <c r="T59" i="6"/>
  <c r="BG62" i="6"/>
  <c r="BG59" i="6"/>
  <c r="R52" i="6"/>
  <c r="R67" i="6" s="1"/>
  <c r="BC7" i="6" s="1"/>
  <c r="T62" i="6"/>
  <c r="T56" i="6"/>
  <c r="BN56" i="6" s="1"/>
  <c r="T60" i="6"/>
  <c r="T61" i="6"/>
  <c r="S52" i="6"/>
  <c r="S67" i="6" s="1"/>
  <c r="BD7" i="6" s="1"/>
  <c r="BG55" i="6"/>
  <c r="BG61" i="6"/>
  <c r="R69" i="6" l="1"/>
  <c r="S69" i="6"/>
  <c r="BL63" i="6"/>
  <c r="BM63" i="6"/>
  <c r="BN61" i="6"/>
  <c r="BN64" i="6" s="1"/>
  <c r="BL61" i="6"/>
  <c r="BM59" i="6"/>
  <c r="BL59" i="6"/>
  <c r="BM60" i="6"/>
  <c r="BO60" i="6" s="1"/>
  <c r="T52" i="6"/>
  <c r="BD19" i="6"/>
  <c r="BD17" i="6"/>
  <c r="BD16" i="6"/>
  <c r="BD14" i="6"/>
  <c r="BD13" i="6"/>
  <c r="BD21" i="6"/>
  <c r="BD15" i="6"/>
  <c r="BD10" i="6"/>
  <c r="BD20" i="6"/>
  <c r="BD18" i="6"/>
  <c r="BD12" i="6"/>
  <c r="BD11" i="6"/>
  <c r="BC21" i="6"/>
  <c r="BC17" i="6"/>
  <c r="BC11" i="6"/>
  <c r="BC19" i="6"/>
  <c r="BC15" i="6"/>
  <c r="BC13" i="6"/>
  <c r="BC20" i="6"/>
  <c r="BC16" i="6"/>
  <c r="BC12" i="6"/>
  <c r="BC10" i="6"/>
  <c r="BE10" i="6" s="1"/>
  <c r="BC18" i="6"/>
  <c r="BC14" i="6"/>
  <c r="BE14" i="6" s="1"/>
  <c r="BN65" i="6" l="1"/>
  <c r="R45" i="6" s="1"/>
  <c r="T69" i="6"/>
  <c r="R65" i="6"/>
  <c r="BL64" i="6"/>
  <c r="BO64" i="6"/>
  <c r="S65" i="6" s="1"/>
  <c r="BM64" i="6"/>
  <c r="S64" i="6" s="1"/>
  <c r="BE17" i="6"/>
  <c r="R22" i="5" s="1"/>
  <c r="D27" i="5" s="1"/>
  <c r="K22" i="4" s="1"/>
  <c r="BL65" i="6"/>
  <c r="AP10" i="7" s="1"/>
  <c r="AI10" i="7"/>
  <c r="AS45" i="4" s="1"/>
  <c r="BM49" i="4" s="1"/>
  <c r="BP49" i="4" s="1"/>
  <c r="BP51" i="4" s="1"/>
  <c r="AI9" i="7"/>
  <c r="BE18" i="6"/>
  <c r="R23" i="5" s="1"/>
  <c r="D28" i="5" s="1"/>
  <c r="K23" i="4" s="1"/>
  <c r="BE11" i="6"/>
  <c r="R16" i="5" s="1"/>
  <c r="D21" i="5" s="1"/>
  <c r="K16" i="4" s="1"/>
  <c r="BE21" i="6"/>
  <c r="U24" i="1" s="1"/>
  <c r="M24" i="1" s="1"/>
  <c r="Y24" i="1" s="1"/>
  <c r="BE16" i="6"/>
  <c r="U19" i="1" s="1"/>
  <c r="M19" i="1" s="1"/>
  <c r="Y19" i="1" s="1"/>
  <c r="BE13" i="6"/>
  <c r="U16" i="1" s="1"/>
  <c r="M16" i="1" s="1"/>
  <c r="Y16" i="1" s="1"/>
  <c r="BE19" i="6"/>
  <c r="U22" i="1" s="1"/>
  <c r="M22" i="1" s="1"/>
  <c r="Y22" i="1" s="1"/>
  <c r="BE12" i="6"/>
  <c r="R17" i="5" s="1"/>
  <c r="D22" i="5" s="1"/>
  <c r="K17" i="4" s="1"/>
  <c r="BE20" i="6"/>
  <c r="U23" i="1" s="1"/>
  <c r="M23" i="1" s="1"/>
  <c r="Y23" i="1" s="1"/>
  <c r="BE15" i="6"/>
  <c r="R20" i="5" s="1"/>
  <c r="D25" i="5" s="1"/>
  <c r="K20" i="4" s="1"/>
  <c r="R19" i="5"/>
  <c r="D24" i="5" s="1"/>
  <c r="K19" i="4" s="1"/>
  <c r="U17" i="1"/>
  <c r="M17" i="1" s="1"/>
  <c r="Y17" i="1" s="1"/>
  <c r="R15" i="5"/>
  <c r="U13" i="1"/>
  <c r="M13" i="1" s="1"/>
  <c r="P45" i="6" l="1"/>
  <c r="AP11" i="7"/>
  <c r="AJ17" i="7" s="1"/>
  <c r="R28" i="7" s="1"/>
  <c r="S45" i="6"/>
  <c r="AN15" i="7"/>
  <c r="AR15" i="7" s="1"/>
  <c r="Y13" i="1"/>
  <c r="U20" i="1"/>
  <c r="M20" i="1" s="1"/>
  <c r="Y20" i="1" s="1"/>
  <c r="P65" i="6"/>
  <c r="R64" i="6"/>
  <c r="P64" i="6"/>
  <c r="AN19" i="7"/>
  <c r="X19" i="7" s="1"/>
  <c r="AN18" i="7"/>
  <c r="X18" i="7" s="1"/>
  <c r="AN26" i="7"/>
  <c r="X26" i="7" s="1"/>
  <c r="AN25" i="7"/>
  <c r="X25" i="7" s="1"/>
  <c r="AN24" i="7"/>
  <c r="X24" i="7" s="1"/>
  <c r="AN21" i="7"/>
  <c r="X21" i="7" s="1"/>
  <c r="AI11" i="7"/>
  <c r="AP54" i="4"/>
  <c r="BP53" i="4"/>
  <c r="E25" i="5"/>
  <c r="F25" i="5"/>
  <c r="E22" i="5"/>
  <c r="F22" i="5"/>
  <c r="F28" i="5"/>
  <c r="E28" i="5"/>
  <c r="F27" i="5"/>
  <c r="E27" i="5"/>
  <c r="F24" i="5"/>
  <c r="E24" i="5"/>
  <c r="E21" i="5"/>
  <c r="F21" i="5"/>
  <c r="R18" i="5"/>
  <c r="D23" i="5" s="1"/>
  <c r="K18" i="4" s="1"/>
  <c r="R25" i="5"/>
  <c r="R26" i="5"/>
  <c r="D31" i="5" s="1"/>
  <c r="K26" i="4" s="1"/>
  <c r="U21" i="1"/>
  <c r="M21" i="1" s="1"/>
  <c r="U14" i="1"/>
  <c r="M14" i="1" s="1"/>
  <c r="Y14" i="1" s="1"/>
  <c r="R24" i="5"/>
  <c r="R21" i="5"/>
  <c r="U15" i="1"/>
  <c r="M15" i="1" s="1"/>
  <c r="Y15" i="1" s="1"/>
  <c r="U18" i="1"/>
  <c r="M18" i="1" s="1"/>
  <c r="T20" i="5"/>
  <c r="T23" i="5"/>
  <c r="T15" i="5"/>
  <c r="D20" i="5"/>
  <c r="K15" i="4" s="1"/>
  <c r="M19" i="6"/>
  <c r="AM22" i="1"/>
  <c r="AL22" i="1"/>
  <c r="AM16" i="1"/>
  <c r="M13" i="6"/>
  <c r="AL16" i="1"/>
  <c r="AM19" i="1"/>
  <c r="M16" i="6"/>
  <c r="AL19" i="1"/>
  <c r="AM24" i="1"/>
  <c r="M21" i="6"/>
  <c r="AL24" i="1"/>
  <c r="AM23" i="1"/>
  <c r="M20" i="6"/>
  <c r="AL23" i="1"/>
  <c r="M10" i="6"/>
  <c r="AM13" i="1"/>
  <c r="AL13" i="1"/>
  <c r="AM17" i="1"/>
  <c r="M14" i="6"/>
  <c r="AL17" i="1"/>
  <c r="T22" i="5"/>
  <c r="T16" i="5"/>
  <c r="T17" i="5"/>
  <c r="T19" i="5"/>
  <c r="X28" i="7" l="1"/>
  <c r="AI17" i="7"/>
  <c r="AM20" i="1"/>
  <c r="AB15" i="7"/>
  <c r="AN20" i="7"/>
  <c r="X20" i="7" s="1"/>
  <c r="Y18" i="1"/>
  <c r="AD18" i="1" s="1"/>
  <c r="AN23" i="7"/>
  <c r="X23" i="7" s="1"/>
  <c r="Y21" i="1"/>
  <c r="AQ15" i="7"/>
  <c r="AL20" i="1"/>
  <c r="AO15" i="7"/>
  <c r="X15" i="7"/>
  <c r="AA15" i="7"/>
  <c r="AC15" i="7"/>
  <c r="AS15" i="7"/>
  <c r="AP15" i="7"/>
  <c r="AM21" i="1"/>
  <c r="M17" i="6"/>
  <c r="AN22" i="7"/>
  <c r="X22" i="7" s="1"/>
  <c r="AO21" i="7"/>
  <c r="AS21" i="7"/>
  <c r="AP21" i="7"/>
  <c r="AR21" i="7"/>
  <c r="AQ21" i="7"/>
  <c r="AP24" i="7"/>
  <c r="AO24" i="7"/>
  <c r="AQ24" i="7"/>
  <c r="AS24" i="7"/>
  <c r="AR24" i="7"/>
  <c r="AQ25" i="7"/>
  <c r="AS25" i="7"/>
  <c r="AP25" i="7"/>
  <c r="AR25" i="7"/>
  <c r="AO25" i="7"/>
  <c r="AP26" i="7"/>
  <c r="AO26" i="7"/>
  <c r="AQ26" i="7"/>
  <c r="AS26" i="7"/>
  <c r="AR26" i="7"/>
  <c r="AO18" i="7"/>
  <c r="AQ18" i="7"/>
  <c r="AS18" i="7"/>
  <c r="AP18" i="7"/>
  <c r="AR18" i="7"/>
  <c r="AS19" i="7"/>
  <c r="AP19" i="7"/>
  <c r="AR19" i="7"/>
  <c r="AO19" i="7"/>
  <c r="AQ19" i="7"/>
  <c r="AB26" i="7"/>
  <c r="AC26" i="7"/>
  <c r="AA26" i="7"/>
  <c r="AC18" i="7"/>
  <c r="AB18" i="7"/>
  <c r="AA18" i="7"/>
  <c r="AC19" i="7"/>
  <c r="AB19" i="7"/>
  <c r="AA19" i="7"/>
  <c r="AB22" i="7"/>
  <c r="AC21" i="7"/>
  <c r="AB21" i="7"/>
  <c r="AA21" i="7"/>
  <c r="AC24" i="7"/>
  <c r="AA24" i="7"/>
  <c r="AB24" i="7"/>
  <c r="AC25" i="7"/>
  <c r="AB25" i="7"/>
  <c r="AA25" i="7"/>
  <c r="R14" i="3"/>
  <c r="AN16" i="7"/>
  <c r="X16" i="7" s="1"/>
  <c r="R15" i="3"/>
  <c r="AN17" i="7"/>
  <c r="X17" i="7" s="1"/>
  <c r="M25" i="1"/>
  <c r="AA42" i="1" s="1"/>
  <c r="AD9" i="2" s="1"/>
  <c r="M18" i="6"/>
  <c r="AM18" i="1"/>
  <c r="T21" i="5"/>
  <c r="D26" i="5"/>
  <c r="K21" i="4" s="1"/>
  <c r="F31" i="5"/>
  <c r="E31" i="5"/>
  <c r="T25" i="5"/>
  <c r="D30" i="5"/>
  <c r="K25" i="4" s="1"/>
  <c r="T24" i="5"/>
  <c r="D29" i="5"/>
  <c r="K24" i="4" s="1"/>
  <c r="E23" i="5"/>
  <c r="F23" i="5"/>
  <c r="E20" i="5"/>
  <c r="F20" i="5"/>
  <c r="BI17" i="1"/>
  <c r="AC17" i="1" s="1"/>
  <c r="BI16" i="1"/>
  <c r="AC16" i="1" s="1"/>
  <c r="T18" i="5"/>
  <c r="AL21" i="1"/>
  <c r="M12" i="6"/>
  <c r="AL14" i="1"/>
  <c r="T26" i="5"/>
  <c r="M15" i="6"/>
  <c r="AL18" i="1"/>
  <c r="BI19" i="1"/>
  <c r="BI23" i="1"/>
  <c r="BI24" i="1"/>
  <c r="BJ13" i="1"/>
  <c r="S13" i="3" s="1"/>
  <c r="AG13" i="1"/>
  <c r="R13" i="3"/>
  <c r="BK13" i="1"/>
  <c r="AD13" i="1"/>
  <c r="BI13" i="1"/>
  <c r="AG16" i="1"/>
  <c r="AD16" i="1"/>
  <c r="BJ16" i="1"/>
  <c r="S16" i="3" s="1"/>
  <c r="R16" i="3"/>
  <c r="BK16" i="1"/>
  <c r="BI22" i="1"/>
  <c r="AD20" i="1"/>
  <c r="R20" i="3"/>
  <c r="B20" i="3" s="1"/>
  <c r="BJ20" i="1"/>
  <c r="S20" i="3" s="1"/>
  <c r="AG20" i="1"/>
  <c r="BK20" i="1"/>
  <c r="BJ17" i="1"/>
  <c r="S17" i="3" s="1"/>
  <c r="AD17" i="1"/>
  <c r="R17" i="3"/>
  <c r="AG17" i="1"/>
  <c r="BK17" i="1"/>
  <c r="AG23" i="1"/>
  <c r="AD23" i="1"/>
  <c r="R23" i="3"/>
  <c r="B23" i="3" s="1"/>
  <c r="BJ23" i="1"/>
  <c r="S23" i="3" s="1"/>
  <c r="BK23" i="1"/>
  <c r="BJ24" i="1"/>
  <c r="S24" i="3" s="1"/>
  <c r="R24" i="3"/>
  <c r="B24" i="3" s="1"/>
  <c r="AG24" i="1"/>
  <c r="AD24" i="1"/>
  <c r="BK24" i="1"/>
  <c r="AG19" i="1"/>
  <c r="R19" i="3"/>
  <c r="AD19" i="1"/>
  <c r="BJ19" i="1"/>
  <c r="S19" i="3" s="1"/>
  <c r="BK19" i="1"/>
  <c r="AG22" i="1"/>
  <c r="AD22" i="1"/>
  <c r="BJ22" i="1"/>
  <c r="S22" i="3" s="1"/>
  <c r="R22" i="3"/>
  <c r="B22" i="3" s="1"/>
  <c r="BK22" i="1"/>
  <c r="AB20" i="7" l="1"/>
  <c r="AQ23" i="7"/>
  <c r="AA23" i="7"/>
  <c r="BI20" i="1"/>
  <c r="AP20" i="1" s="1"/>
  <c r="AC23" i="7"/>
  <c r="AA20" i="7"/>
  <c r="AC20" i="7"/>
  <c r="AB23" i="7"/>
  <c r="AQ20" i="7"/>
  <c r="AP20" i="7"/>
  <c r="AS23" i="7"/>
  <c r="AR20" i="7"/>
  <c r="AS20" i="7"/>
  <c r="AO20" i="7"/>
  <c r="AR23" i="7"/>
  <c r="AO23" i="7"/>
  <c r="AP23" i="7"/>
  <c r="AD15" i="7"/>
  <c r="AF15" i="7" s="1"/>
  <c r="BI21" i="1"/>
  <c r="AP21" i="1" s="1"/>
  <c r="AA22" i="7"/>
  <c r="AC22" i="7"/>
  <c r="AP22" i="7"/>
  <c r="AS22" i="7"/>
  <c r="AQ22" i="7"/>
  <c r="AO22" i="7"/>
  <c r="AR22" i="7"/>
  <c r="X27" i="7"/>
  <c r="AO17" i="7"/>
  <c r="AP17" i="7"/>
  <c r="AR17" i="7"/>
  <c r="AQ17" i="7"/>
  <c r="AS17" i="7"/>
  <c r="AO16" i="7"/>
  <c r="AQ16" i="7"/>
  <c r="AS16" i="7"/>
  <c r="AP16" i="7"/>
  <c r="AR16" i="7"/>
  <c r="AD19" i="7"/>
  <c r="AF19" i="7" s="1"/>
  <c r="AD18" i="7"/>
  <c r="AF18" i="7" s="1"/>
  <c r="AD26" i="7"/>
  <c r="AF26" i="7" s="1"/>
  <c r="AD25" i="7"/>
  <c r="AF25" i="7" s="1"/>
  <c r="AD21" i="7"/>
  <c r="AF21" i="7" s="1"/>
  <c r="AC17" i="7"/>
  <c r="AB17" i="7"/>
  <c r="AA17" i="7"/>
  <c r="AC16" i="7"/>
  <c r="AB16" i="7"/>
  <c r="AA16" i="7"/>
  <c r="AD24" i="7"/>
  <c r="AF24" i="7" s="1"/>
  <c r="K14" i="4"/>
  <c r="O45" i="4" s="1"/>
  <c r="Q46" i="4" s="1"/>
  <c r="D32" i="5"/>
  <c r="AX3" i="5" s="1"/>
  <c r="AO13" i="1"/>
  <c r="AP13" i="1"/>
  <c r="AO24" i="1"/>
  <c r="AP24" i="1"/>
  <c r="AO16" i="1"/>
  <c r="AP16" i="1"/>
  <c r="AO22" i="1"/>
  <c r="AP22" i="1"/>
  <c r="AO23" i="1"/>
  <c r="AP23" i="1"/>
  <c r="AO19" i="1"/>
  <c r="AP19" i="1"/>
  <c r="AO17" i="1"/>
  <c r="AP17" i="1"/>
  <c r="AB13" i="1"/>
  <c r="AN13" i="1"/>
  <c r="AC24" i="1"/>
  <c r="AN24" i="1"/>
  <c r="AB16" i="1"/>
  <c r="AN16" i="1"/>
  <c r="AB22" i="1"/>
  <c r="AN22" i="1"/>
  <c r="AC23" i="1"/>
  <c r="AN23" i="1"/>
  <c r="AB19" i="1"/>
  <c r="AN19" i="1"/>
  <c r="AB17" i="1"/>
  <c r="AN17" i="1"/>
  <c r="R21" i="3"/>
  <c r="B21" i="3" s="1"/>
  <c r="BI18" i="1"/>
  <c r="F29" i="5"/>
  <c r="E29" i="5"/>
  <c r="E30" i="5"/>
  <c r="F30" i="5"/>
  <c r="E26" i="5"/>
  <c r="F26" i="5"/>
  <c r="AC19" i="1"/>
  <c r="BK14" i="1"/>
  <c r="T14" i="3" s="1"/>
  <c r="AD21" i="1"/>
  <c r="T27" i="5"/>
  <c r="AD14" i="1"/>
  <c r="BK21" i="1"/>
  <c r="T21" i="3" s="1"/>
  <c r="BJ21" i="1"/>
  <c r="S21" i="3" s="1"/>
  <c r="AG21" i="1"/>
  <c r="AM14" i="1"/>
  <c r="BJ18" i="1"/>
  <c r="S18" i="3" s="1"/>
  <c r="AG18" i="1"/>
  <c r="AL15" i="1"/>
  <c r="M11" i="6"/>
  <c r="AM15" i="1"/>
  <c r="BI15" i="1" s="1"/>
  <c r="AP15" i="1" s="1"/>
  <c r="BK18" i="1"/>
  <c r="T18" i="3" s="1"/>
  <c r="R18" i="3"/>
  <c r="AD15" i="1"/>
  <c r="AG15" i="1"/>
  <c r="AB23" i="1"/>
  <c r="BK15" i="1"/>
  <c r="BJ15" i="1"/>
  <c r="S15" i="3" s="1"/>
  <c r="Y25" i="1"/>
  <c r="N3" i="3" s="1"/>
  <c r="AB24" i="1"/>
  <c r="BJ14" i="1"/>
  <c r="S14" i="3" s="1"/>
  <c r="AG14" i="1"/>
  <c r="AC22" i="1"/>
  <c r="T22" i="3"/>
  <c r="U22" i="3" s="1"/>
  <c r="T19" i="3"/>
  <c r="U19" i="3" s="1"/>
  <c r="T24" i="3"/>
  <c r="U24" i="3" s="1"/>
  <c r="T23" i="3"/>
  <c r="U23" i="3" s="1"/>
  <c r="T17" i="3"/>
  <c r="U17" i="3" s="1"/>
  <c r="T16" i="3"/>
  <c r="U16" i="3" s="1"/>
  <c r="T13" i="3"/>
  <c r="U13" i="3" s="1"/>
  <c r="T20" i="3"/>
  <c r="U20" i="3" s="1"/>
  <c r="AC13" i="1"/>
  <c r="AD23" i="7" l="1"/>
  <c r="AF23" i="7" s="1"/>
  <c r="AC21" i="1"/>
  <c r="AN20" i="1"/>
  <c r="AO21" i="1"/>
  <c r="AC20" i="1"/>
  <c r="AB20" i="1"/>
  <c r="AO20" i="1"/>
  <c r="AD20" i="7"/>
  <c r="AF20" i="7" s="1"/>
  <c r="AB21" i="1"/>
  <c r="AN21" i="1"/>
  <c r="AD22" i="7"/>
  <c r="AF22" i="7" s="1"/>
  <c r="X29" i="7"/>
  <c r="W29" i="7"/>
  <c r="AP45" i="4" s="1"/>
  <c r="BM39" i="4" s="1"/>
  <c r="BP38" i="4" s="1"/>
  <c r="AP27" i="7"/>
  <c r="AJ14" i="7" s="1"/>
  <c r="AQ27" i="7"/>
  <c r="AJ15" i="7" s="1"/>
  <c r="AI15" i="7" s="1"/>
  <c r="AR27" i="7"/>
  <c r="AJ16" i="7" s="1"/>
  <c r="AI16" i="7" s="1"/>
  <c r="AS27" i="7"/>
  <c r="AO27" i="7"/>
  <c r="AJ13" i="7" s="1"/>
  <c r="AD17" i="7"/>
  <c r="AF17" i="7" s="1"/>
  <c r="AD16" i="7"/>
  <c r="S46" i="4"/>
  <c r="R46" i="4"/>
  <c r="N19" i="4"/>
  <c r="AL19" i="4" s="1"/>
  <c r="N21" i="4"/>
  <c r="AL21" i="4" s="1"/>
  <c r="N25" i="4"/>
  <c r="AL25" i="4" s="1"/>
  <c r="N24" i="4"/>
  <c r="AL24" i="4" s="1"/>
  <c r="N18" i="4"/>
  <c r="AL18" i="4" s="1"/>
  <c r="N26" i="4"/>
  <c r="AL26" i="4" s="1"/>
  <c r="N15" i="4"/>
  <c r="AL15" i="4" s="1"/>
  <c r="BI14" i="1"/>
  <c r="AO14" i="1" s="1"/>
  <c r="AM25" i="1"/>
  <c r="AO18" i="1"/>
  <c r="AP18" i="1"/>
  <c r="AN15" i="1"/>
  <c r="AO15" i="1"/>
  <c r="AC18" i="1"/>
  <c r="AN18" i="1"/>
  <c r="AB18" i="1"/>
  <c r="F32" i="5"/>
  <c r="E32" i="5"/>
  <c r="J32" i="5" s="1"/>
  <c r="B26" i="1" s="1"/>
  <c r="U18" i="3"/>
  <c r="B18" i="3" s="1"/>
  <c r="BK12" i="1"/>
  <c r="BM22" i="1" s="1"/>
  <c r="B19" i="3"/>
  <c r="B17" i="3"/>
  <c r="Q21" i="4"/>
  <c r="AG25" i="1"/>
  <c r="AD25" i="1"/>
  <c r="AL25" i="1"/>
  <c r="U21" i="3"/>
  <c r="AC15" i="1"/>
  <c r="AB15" i="1"/>
  <c r="U14" i="3"/>
  <c r="B14" i="3" s="1"/>
  <c r="T15" i="3"/>
  <c r="U15" i="3" s="1"/>
  <c r="B15" i="3" s="1"/>
  <c r="B13" i="3"/>
  <c r="B16" i="3"/>
  <c r="N14" i="3"/>
  <c r="B12" i="3" s="1"/>
  <c r="N4" i="3"/>
  <c r="BP39" i="4" l="1"/>
  <c r="BP40" i="4"/>
  <c r="AP14" i="1"/>
  <c r="AP25" i="1" s="1"/>
  <c r="T22" i="2" s="1"/>
  <c r="AF14" i="1"/>
  <c r="AA41" i="1"/>
  <c r="AQ70" i="4"/>
  <c r="AN74" i="4" s="1"/>
  <c r="N22" i="4"/>
  <c r="AL22" i="4" s="1"/>
  <c r="N23" i="4"/>
  <c r="AL23" i="4" s="1"/>
  <c r="AK47" i="7"/>
  <c r="AK49" i="7"/>
  <c r="AK46" i="7"/>
  <c r="AK48" i="7"/>
  <c r="AK50" i="7"/>
  <c r="AK55" i="7" s="1"/>
  <c r="H56" i="3" s="1"/>
  <c r="AK43" i="7"/>
  <c r="AK45" i="7"/>
  <c r="AK42" i="7"/>
  <c r="AK44" i="7"/>
  <c r="AK39" i="7"/>
  <c r="AK40" i="7"/>
  <c r="AK41" i="7"/>
  <c r="AK38" i="7"/>
  <c r="AK37" i="7"/>
  <c r="AK36" i="7"/>
  <c r="AK35" i="7"/>
  <c r="AK34" i="7"/>
  <c r="AK32" i="7"/>
  <c r="AK33" i="7"/>
  <c r="AK31" i="7"/>
  <c r="AK30" i="7"/>
  <c r="AK24" i="7"/>
  <c r="AK29" i="7"/>
  <c r="AK28" i="7"/>
  <c r="AI13" i="7"/>
  <c r="AI14" i="7"/>
  <c r="AF16" i="7"/>
  <c r="AD27" i="7"/>
  <c r="BO18" i="1"/>
  <c r="BO13" i="1"/>
  <c r="N20" i="4"/>
  <c r="AL20" i="4" s="1"/>
  <c r="N17" i="4"/>
  <c r="AL17" i="4" s="1"/>
  <c r="AN14" i="1"/>
  <c r="AB14" i="1"/>
  <c r="AB25" i="1" s="1"/>
  <c r="AC14" i="1"/>
  <c r="AC25" i="1" s="1"/>
  <c r="AO25" i="1"/>
  <c r="BI25" i="1"/>
  <c r="BM18" i="1"/>
  <c r="BL24" i="1"/>
  <c r="BL13" i="1"/>
  <c r="AG31" i="1"/>
  <c r="L75" i="2" s="1"/>
  <c r="AF23" i="1"/>
  <c r="BL14" i="1"/>
  <c r="BL21" i="1"/>
  <c r="BM15" i="1"/>
  <c r="BO15" i="1"/>
  <c r="BO14" i="1"/>
  <c r="BL19" i="1"/>
  <c r="BL23" i="1"/>
  <c r="BL17" i="1"/>
  <c r="BL20" i="1"/>
  <c r="BL22" i="1"/>
  <c r="BM16" i="1"/>
  <c r="BO22" i="1"/>
  <c r="BO23" i="1"/>
  <c r="BO24" i="1"/>
  <c r="BM24" i="1"/>
  <c r="BM14" i="1"/>
  <c r="BM23" i="1"/>
  <c r="BM17" i="1"/>
  <c r="BL18" i="1"/>
  <c r="BM20" i="1"/>
  <c r="BL15" i="1"/>
  <c r="BM19" i="1"/>
  <c r="BM21" i="1"/>
  <c r="BL16" i="1"/>
  <c r="BM13" i="1"/>
  <c r="BO21" i="1"/>
  <c r="BO19" i="1"/>
  <c r="BO16" i="1"/>
  <c r="BO17" i="1"/>
  <c r="BO20" i="1"/>
  <c r="AF15" i="1"/>
  <c r="H40" i="3"/>
  <c r="H41" i="3"/>
  <c r="H32" i="3"/>
  <c r="I32" i="3" s="1"/>
  <c r="R14" i="4" s="1"/>
  <c r="AF22" i="1"/>
  <c r="AF13" i="1"/>
  <c r="AF21" i="1"/>
  <c r="AF18" i="1"/>
  <c r="AF20" i="1"/>
  <c r="AF17" i="1"/>
  <c r="AF24" i="1"/>
  <c r="E65" i="2"/>
  <c r="Y22" i="2"/>
  <c r="Z17" i="2" s="1"/>
  <c r="AF19" i="1"/>
  <c r="AF16" i="1"/>
  <c r="E64" i="2"/>
  <c r="B7" i="7"/>
  <c r="B35" i="4"/>
  <c r="B42" i="3"/>
  <c r="B32" i="3"/>
  <c r="Q6" i="3"/>
  <c r="Q7" i="3"/>
  <c r="BP41" i="4" l="1"/>
  <c r="BP43" i="4" s="1"/>
  <c r="Q52" i="4" s="1"/>
  <c r="AJ49" i="7"/>
  <c r="AJ48" i="7"/>
  <c r="AK51" i="7"/>
  <c r="H52" i="3" s="1"/>
  <c r="AJ50" i="7"/>
  <c r="AJ55" i="7" s="1"/>
  <c r="B56" i="3" s="1"/>
  <c r="AJ46" i="7"/>
  <c r="AJ47" i="7"/>
  <c r="AK52" i="7"/>
  <c r="H53" i="3" s="1"/>
  <c r="AK53" i="7"/>
  <c r="H54" i="3" s="1"/>
  <c r="AK54" i="7"/>
  <c r="H55" i="3" s="1"/>
  <c r="AJ44" i="7"/>
  <c r="AJ42" i="7"/>
  <c r="AJ45" i="7"/>
  <c r="AJ43" i="7"/>
  <c r="AJ41" i="7"/>
  <c r="AJ40" i="7"/>
  <c r="AJ39" i="7"/>
  <c r="AJ38" i="7"/>
  <c r="AJ37" i="7"/>
  <c r="AJ36" i="7"/>
  <c r="AJ35" i="7"/>
  <c r="AJ34" i="7"/>
  <c r="AJ32" i="7"/>
  <c r="AJ33" i="7"/>
  <c r="AJ31" i="7"/>
  <c r="AJ30" i="7"/>
  <c r="AJ24" i="7"/>
  <c r="AJ29" i="7"/>
  <c r="AJ28" i="7"/>
  <c r="AF27" i="7"/>
  <c r="BO12" i="1"/>
  <c r="BP12" i="1" s="1"/>
  <c r="O18" i="3" s="1"/>
  <c r="G12" i="3" s="1"/>
  <c r="AU13" i="4"/>
  <c r="U19" i="2"/>
  <c r="U15" i="2"/>
  <c r="U18" i="2"/>
  <c r="U9" i="2"/>
  <c r="U11" i="2"/>
  <c r="U16" i="2"/>
  <c r="U13" i="2"/>
  <c r="U12" i="2"/>
  <c r="U17" i="2"/>
  <c r="U14" i="2"/>
  <c r="E36" i="2"/>
  <c r="U8" i="2"/>
  <c r="U10" i="2"/>
  <c r="Q22" i="2"/>
  <c r="R19" i="2" s="1"/>
  <c r="AN25" i="1"/>
  <c r="N16" i="4"/>
  <c r="AL16" i="4" s="1"/>
  <c r="E63" i="2"/>
  <c r="BM12" i="1"/>
  <c r="O19" i="3" s="1"/>
  <c r="G13" i="3" s="1"/>
  <c r="M22" i="2"/>
  <c r="AM13" i="4" s="1"/>
  <c r="AE13" i="1"/>
  <c r="AE25" i="1" s="1"/>
  <c r="BL12" i="1"/>
  <c r="R21" i="4"/>
  <c r="Z13" i="2"/>
  <c r="AA13" i="2" s="1"/>
  <c r="Z16" i="2"/>
  <c r="AA16" i="2" s="1"/>
  <c r="Z8" i="2"/>
  <c r="AA8" i="2" s="1"/>
  <c r="Z9" i="2"/>
  <c r="AA9" i="2" s="1"/>
  <c r="Z14" i="2"/>
  <c r="AA14" i="2" s="1"/>
  <c r="Z19" i="2"/>
  <c r="AA19" i="2" s="1"/>
  <c r="Z11" i="2"/>
  <c r="AA11" i="2" s="1"/>
  <c r="E37" i="2"/>
  <c r="AV13" i="4"/>
  <c r="AV20" i="4" s="1"/>
  <c r="Z18" i="2"/>
  <c r="AA18" i="2" s="1"/>
  <c r="Z15" i="2"/>
  <c r="AA15" i="2" s="1"/>
  <c r="AA17" i="2"/>
  <c r="Z10" i="2"/>
  <c r="AA10" i="2" s="1"/>
  <c r="Z12" i="2"/>
  <c r="AA12" i="2" s="1"/>
  <c r="AF25" i="1"/>
  <c r="R18" i="2"/>
  <c r="Q12" i="3"/>
  <c r="B10" i="3" s="1"/>
  <c r="B33" i="4" s="1"/>
  <c r="Q13" i="3"/>
  <c r="B11" i="3" s="1"/>
  <c r="B34" i="4" s="1"/>
  <c r="B49" i="4"/>
  <c r="BE61" i="4"/>
  <c r="I41" i="3"/>
  <c r="I40" i="3"/>
  <c r="BL60" i="4" l="1"/>
  <c r="AA40" i="1"/>
  <c r="AD7" i="2" s="1"/>
  <c r="AP52" i="4"/>
  <c r="M6" i="1"/>
  <c r="AA24" i="2"/>
  <c r="L74" i="2" s="1"/>
  <c r="AD8" i="2"/>
  <c r="BK30" i="4"/>
  <c r="R52" i="4"/>
  <c r="AJ54" i="7"/>
  <c r="B55" i="3" s="1"/>
  <c r="AJ52" i="7"/>
  <c r="AJ53" i="7"/>
  <c r="AJ51" i="7"/>
  <c r="B52" i="3" s="1"/>
  <c r="I55" i="3"/>
  <c r="I56" i="3"/>
  <c r="I53" i="3"/>
  <c r="I54" i="3"/>
  <c r="I52" i="3"/>
  <c r="B53" i="3"/>
  <c r="B54" i="3"/>
  <c r="AK56" i="7"/>
  <c r="BL61" i="4"/>
  <c r="BL62" i="4"/>
  <c r="R12" i="2"/>
  <c r="B6" i="5"/>
  <c r="E62" i="2"/>
  <c r="E66" i="2" s="1"/>
  <c r="R17" i="2"/>
  <c r="R15" i="2"/>
  <c r="BQ12" i="1"/>
  <c r="P18" i="3" s="1"/>
  <c r="K43" i="3" s="1"/>
  <c r="R9" i="2"/>
  <c r="R13" i="2"/>
  <c r="R10" i="2"/>
  <c r="U22" i="2"/>
  <c r="T33" i="2" s="1"/>
  <c r="F65" i="2"/>
  <c r="N68" i="2" s="1"/>
  <c r="AU21" i="4"/>
  <c r="AU25" i="4"/>
  <c r="AU23" i="4"/>
  <c r="AU24" i="4"/>
  <c r="AU22" i="4"/>
  <c r="AU26" i="4"/>
  <c r="P12" i="4"/>
  <c r="E34" i="2"/>
  <c r="E35" i="2"/>
  <c r="R11" i="2"/>
  <c r="AQ13" i="4"/>
  <c r="AR13" i="4" s="1"/>
  <c r="AT13" i="4" s="1"/>
  <c r="R16" i="2"/>
  <c r="R8" i="2"/>
  <c r="R14" i="2"/>
  <c r="N13" i="2"/>
  <c r="O13" i="2" s="1"/>
  <c r="N15" i="2"/>
  <c r="O15" i="2" s="1"/>
  <c r="N11" i="2"/>
  <c r="O11" i="2" s="1"/>
  <c r="N9" i="2"/>
  <c r="O9" i="2" s="1"/>
  <c r="N19" i="2"/>
  <c r="O19" i="2" s="1"/>
  <c r="AN13" i="4"/>
  <c r="AO13" i="4" s="1"/>
  <c r="AM23" i="4"/>
  <c r="N16" i="2"/>
  <c r="O16" i="2" s="1"/>
  <c r="N8" i="2"/>
  <c r="O8" i="2" s="1"/>
  <c r="N17" i="2"/>
  <c r="O17" i="2" s="1"/>
  <c r="N10" i="2"/>
  <c r="O10" i="2" s="1"/>
  <c r="N14" i="2"/>
  <c r="O14" i="2" s="1"/>
  <c r="N18" i="2"/>
  <c r="O18" i="2" s="1"/>
  <c r="N12" i="2"/>
  <c r="O12" i="2" s="1"/>
  <c r="O24" i="2"/>
  <c r="L73" i="2" s="1"/>
  <c r="AM22" i="4"/>
  <c r="AM26" i="4"/>
  <c r="AM24" i="4"/>
  <c r="AM25" i="4"/>
  <c r="AV26" i="4"/>
  <c r="AV21" i="4"/>
  <c r="AV23" i="4"/>
  <c r="AV22" i="4"/>
  <c r="AV24" i="4"/>
  <c r="AV25" i="4"/>
  <c r="AA22" i="2"/>
  <c r="Z20" i="2"/>
  <c r="L49" i="3"/>
  <c r="B6" i="7"/>
  <c r="AT25" i="4" l="1"/>
  <c r="AT26" i="4"/>
  <c r="AT21" i="4"/>
  <c r="AT18" i="4"/>
  <c r="AT19" i="4"/>
  <c r="AT24" i="4"/>
  <c r="AT17" i="4"/>
  <c r="AT20" i="4"/>
  <c r="AT23" i="4"/>
  <c r="AT22" i="4"/>
  <c r="AT16" i="4"/>
  <c r="AC19" i="2"/>
  <c r="AA26" i="2"/>
  <c r="AV12" i="4" s="1"/>
  <c r="AV15" i="4" s="1"/>
  <c r="C75" i="2"/>
  <c r="F36" i="3" s="1"/>
  <c r="C76" i="2"/>
  <c r="F37" i="3" s="1"/>
  <c r="AO24" i="4"/>
  <c r="AO22" i="4"/>
  <c r="AV19" i="4"/>
  <c r="G59" i="2"/>
  <c r="BL63" i="4"/>
  <c r="BL64" i="4" s="1"/>
  <c r="Q49" i="4" s="1"/>
  <c r="R49" i="4" s="1"/>
  <c r="AV18" i="4"/>
  <c r="F66" i="2"/>
  <c r="O69" i="2"/>
  <c r="N69" i="2"/>
  <c r="N70" i="2" s="1"/>
  <c r="AS13" i="4"/>
  <c r="AS19" i="4" s="1"/>
  <c r="AN22" i="4"/>
  <c r="AQ26" i="4"/>
  <c r="AR24" i="4"/>
  <c r="AR23" i="4"/>
  <c r="AO20" i="4"/>
  <c r="AO26" i="4"/>
  <c r="AQ22" i="4"/>
  <c r="AQ24" i="4"/>
  <c r="AU12" i="4"/>
  <c r="AU20" i="4" s="1"/>
  <c r="AO19" i="4"/>
  <c r="AR22" i="4"/>
  <c r="AR21" i="4"/>
  <c r="AR25" i="4"/>
  <c r="AR26" i="4"/>
  <c r="AN25" i="4"/>
  <c r="AN26" i="4"/>
  <c r="AP19" i="4"/>
  <c r="AQ23" i="4"/>
  <c r="AN24" i="4"/>
  <c r="AP20" i="4"/>
  <c r="AP24" i="4"/>
  <c r="AO23" i="4"/>
  <c r="R22" i="2"/>
  <c r="Q33" i="2" s="1"/>
  <c r="O68" i="2"/>
  <c r="Q20" i="4"/>
  <c r="R20" i="4"/>
  <c r="Q19" i="4"/>
  <c r="R19" i="4"/>
  <c r="Q18" i="4"/>
  <c r="R18" i="4"/>
  <c r="Q17" i="4"/>
  <c r="R17" i="4"/>
  <c r="AQ25" i="4"/>
  <c r="Q16" i="4"/>
  <c r="Q15" i="4"/>
  <c r="R15" i="4"/>
  <c r="R16" i="4"/>
  <c r="AP13" i="4"/>
  <c r="AN23" i="4"/>
  <c r="AO25" i="4"/>
  <c r="AN21" i="4"/>
  <c r="AP22" i="4"/>
  <c r="AP21" i="4"/>
  <c r="AO18" i="4"/>
  <c r="AP25" i="4"/>
  <c r="AP18" i="4"/>
  <c r="AO21" i="4"/>
  <c r="AP26" i="4"/>
  <c r="AO17" i="4"/>
  <c r="AP23" i="4"/>
  <c r="O22" i="2"/>
  <c r="O26" i="2" s="1"/>
  <c r="AM12" i="4" s="1"/>
  <c r="N20" i="2"/>
  <c r="AM21" i="4"/>
  <c r="AM20" i="4"/>
  <c r="AM15" i="4" l="1"/>
  <c r="AV16" i="4"/>
  <c r="AV17" i="4"/>
  <c r="AA28" i="2"/>
  <c r="AE31" i="2" s="1"/>
  <c r="AE33" i="2" s="1"/>
  <c r="AC23" i="2"/>
  <c r="O70" i="2"/>
  <c r="AS20" i="4"/>
  <c r="AU18" i="4"/>
  <c r="AU19" i="4"/>
  <c r="AU15" i="4"/>
  <c r="AU17" i="4"/>
  <c r="AU16" i="4"/>
  <c r="AS24" i="4"/>
  <c r="AQ12" i="4"/>
  <c r="AQ17" i="4" s="1"/>
  <c r="AM19" i="4"/>
  <c r="AS22" i="4"/>
  <c r="AS25" i="4"/>
  <c r="AS16" i="4"/>
  <c r="AM18" i="4"/>
  <c r="AM17" i="4"/>
  <c r="AS18" i="4"/>
  <c r="AS17" i="4"/>
  <c r="AS21" i="4"/>
  <c r="AS23" i="4"/>
  <c r="AS26" i="4"/>
  <c r="AM16" i="4"/>
  <c r="AN12" i="4"/>
  <c r="AN18" i="4" s="1"/>
  <c r="O28" i="2"/>
  <c r="AC22" i="2"/>
  <c r="B4" i="3" s="1"/>
  <c r="B61" i="3" s="1"/>
  <c r="H30" i="2"/>
  <c r="AQ20" i="4"/>
  <c r="AQ21" i="4"/>
  <c r="H32" i="2" l="1"/>
  <c r="AQ16" i="4"/>
  <c r="AX12" i="4"/>
  <c r="AV27" i="4"/>
  <c r="AO40" i="4" s="1"/>
  <c r="AA30" i="2"/>
  <c r="AA31" i="2"/>
  <c r="AA32" i="2"/>
  <c r="AR12" i="4"/>
  <c r="AT12" i="4" s="1"/>
  <c r="AT15" i="4" s="1"/>
  <c r="H31" i="2"/>
  <c r="AN15" i="4"/>
  <c r="AN20" i="4"/>
  <c r="AN17" i="4"/>
  <c r="AN16" i="4"/>
  <c r="AN19" i="4"/>
  <c r="AR17" i="4"/>
  <c r="AR19" i="4"/>
  <c r="AR18" i="4"/>
  <c r="AS12" i="4"/>
  <c r="AS15" i="4" s="1"/>
  <c r="AS27" i="4" s="1"/>
  <c r="AN37" i="4" s="1"/>
  <c r="AR16" i="4"/>
  <c r="AU27" i="4"/>
  <c r="AO39" i="4" s="1"/>
  <c r="AQ19" i="4"/>
  <c r="AQ18" i="4"/>
  <c r="AQ15" i="4"/>
  <c r="AM27" i="4"/>
  <c r="AN30" i="4" s="1"/>
  <c r="AP12" i="4"/>
  <c r="AP15" i="4" s="1"/>
  <c r="AO12" i="4"/>
  <c r="P31" i="2"/>
  <c r="P33" i="2" s="1"/>
  <c r="B71" i="3"/>
  <c r="C64" i="3"/>
  <c r="C63" i="3"/>
  <c r="B63" i="3"/>
  <c r="B64" i="3"/>
  <c r="B62" i="3"/>
  <c r="C65" i="3"/>
  <c r="C66" i="3"/>
  <c r="B30" i="4"/>
  <c r="B3" i="7" s="1"/>
  <c r="O19" i="4"/>
  <c r="O20" i="4"/>
  <c r="O21" i="4"/>
  <c r="P21" i="4"/>
  <c r="AP16" i="4"/>
  <c r="P36" i="2" l="1"/>
  <c r="AY15" i="4"/>
  <c r="AY27" i="4" s="1"/>
  <c r="H33" i="2"/>
  <c r="AP17" i="4"/>
  <c r="AP27" i="4" s="1"/>
  <c r="AO33" i="4" s="1"/>
  <c r="AO16" i="4"/>
  <c r="AO15" i="4"/>
  <c r="AR20" i="4"/>
  <c r="AR15" i="4"/>
  <c r="AA33" i="2"/>
  <c r="P18" i="4"/>
  <c r="AH18" i="4"/>
  <c r="AE18" i="4"/>
  <c r="AN27" i="4"/>
  <c r="AN31" i="4" s="1"/>
  <c r="AG18" i="4"/>
  <c r="AI18" i="4"/>
  <c r="AQ27" i="4"/>
  <c r="AN34" i="4" s="1"/>
  <c r="P20" i="4"/>
  <c r="P19" i="4"/>
  <c r="AZ15" i="4" l="1"/>
  <c r="AZ27" i="4" s="1"/>
  <c r="AY28" i="4" s="1"/>
  <c r="R36" i="2"/>
  <c r="H41" i="2"/>
  <c r="H36" i="2"/>
  <c r="AO27" i="4"/>
  <c r="AN32" i="4" s="1"/>
  <c r="AT27" i="4"/>
  <c r="AO38" i="4" s="1"/>
  <c r="AR27" i="4"/>
  <c r="AN35" i="4" s="1"/>
  <c r="P41" i="2"/>
  <c r="P38" i="2"/>
  <c r="R39" i="2"/>
  <c r="R41" i="2"/>
  <c r="H38" i="2"/>
  <c r="R38" i="2"/>
  <c r="R43" i="2"/>
  <c r="R47" i="2" s="1"/>
  <c r="H30" i="3" s="1"/>
  <c r="P39" i="2"/>
  <c r="H42" i="2"/>
  <c r="P42" i="2"/>
  <c r="R42" i="2"/>
  <c r="H43" i="2"/>
  <c r="H47" i="2" s="1"/>
  <c r="B30" i="3" s="1"/>
  <c r="H39" i="2"/>
  <c r="H46" i="2" s="1"/>
  <c r="B29" i="3" s="1"/>
  <c r="AF18" i="4"/>
  <c r="AC19" i="4"/>
  <c r="AI19" i="4"/>
  <c r="AH16" i="4"/>
  <c r="AI16" i="4"/>
  <c r="AI17" i="4"/>
  <c r="AK18" i="4"/>
  <c r="AG17" i="4"/>
  <c r="AG16" i="4"/>
  <c r="AF17" i="4"/>
  <c r="AF20" i="4"/>
  <c r="AG20" i="4"/>
  <c r="AK20" i="4" s="1"/>
  <c r="AF19" i="4"/>
  <c r="AG19" i="4"/>
  <c r="R45" i="2" l="1"/>
  <c r="H28" i="3" s="1"/>
  <c r="AN41" i="4"/>
  <c r="AU39" i="4" s="1"/>
  <c r="AN42" i="4" s="1"/>
  <c r="AU42" i="4" s="1"/>
  <c r="H45" i="2"/>
  <c r="B28" i="3" s="1"/>
  <c r="AK19" i="4"/>
  <c r="P46" i="2"/>
  <c r="F29" i="3" s="1"/>
  <c r="AJ19" i="4"/>
  <c r="P45" i="2"/>
  <c r="F28" i="3" s="1"/>
  <c r="R46" i="2"/>
  <c r="H29" i="3" s="1"/>
  <c r="AO41" i="4" l="1"/>
  <c r="AV39" i="4" s="1"/>
  <c r="AO42" i="4" s="1"/>
  <c r="I30" i="3"/>
  <c r="I28" i="3"/>
  <c r="I29" i="3"/>
  <c r="R49" i="2"/>
  <c r="F29" i="2" s="1"/>
  <c r="F30" i="2" s="1"/>
  <c r="H51" i="2" s="1"/>
  <c r="B33" i="3" s="1"/>
  <c r="AV47" i="4"/>
  <c r="E39" i="4" s="1"/>
  <c r="AW39" i="4" l="1"/>
  <c r="AP41" i="4"/>
  <c r="AV42" i="4"/>
  <c r="AP42" i="4"/>
  <c r="BP4" i="4"/>
  <c r="BU14" i="4"/>
  <c r="BV14" i="4"/>
  <c r="O39" i="4"/>
  <c r="BO44" i="4"/>
  <c r="BL38" i="4"/>
  <c r="BL40" i="4"/>
  <c r="R51" i="2"/>
  <c r="I33" i="3" s="1"/>
  <c r="AN53" i="4" l="1"/>
  <c r="AO53" i="4" s="1"/>
  <c r="BE39" i="4"/>
  <c r="AW42" i="4"/>
  <c r="BU4" i="4" s="1"/>
  <c r="AN45" i="4"/>
  <c r="AO45" i="4" s="1"/>
  <c r="AN52" i="4"/>
  <c r="AO52" i="4" s="1"/>
  <c r="BV4" i="4"/>
  <c r="BL39" i="4"/>
  <c r="BL41" i="4" s="1"/>
  <c r="BO43" i="4"/>
  <c r="BO45" i="4" s="1"/>
  <c r="BW14" i="4"/>
  <c r="BZ14" i="4" s="1"/>
  <c r="BW4" i="4" l="1"/>
  <c r="BZ4" i="4" s="1"/>
  <c r="BZ15" i="4" s="1"/>
  <c r="AP48" i="4" s="1"/>
  <c r="AN48" i="4" s="1"/>
  <c r="BL43" i="4"/>
  <c r="M36" i="4" l="1"/>
  <c r="Q39" i="4"/>
  <c r="R39" i="4" s="1"/>
  <c r="O18" i="4" l="1"/>
  <c r="L76" i="2"/>
  <c r="K78" i="2" l="1"/>
  <c r="N80" i="2"/>
  <c r="T71" i="2"/>
  <c r="C37" i="3" s="1"/>
  <c r="F71" i="2"/>
  <c r="O80" i="2" s="1"/>
  <c r="N76" i="2"/>
  <c r="N78" i="2" s="1"/>
  <c r="T70" i="2" s="1"/>
  <c r="C36" i="3" s="1"/>
  <c r="P14" i="4" l="1"/>
  <c r="H37" i="3"/>
  <c r="Q80" i="2"/>
  <c r="H36" i="3"/>
  <c r="O14" i="4"/>
  <c r="O16" i="4" l="1"/>
  <c r="O17" i="4"/>
  <c r="P16" i="4"/>
  <c r="P17" i="4"/>
  <c r="O15" i="4"/>
  <c r="Q42" i="4"/>
  <c r="R42" i="4" s="1"/>
  <c r="P15" i="4"/>
  <c r="Q43" i="4"/>
  <c r="I36" i="3"/>
  <c r="I37" i="3"/>
  <c r="K19" i="3" l="1"/>
  <c r="AO7" i="7" s="1"/>
  <c r="Z15" i="7" s="1"/>
  <c r="AE15" i="7" s="1"/>
  <c r="S43" i="4"/>
  <c r="R43" i="4"/>
  <c r="S42" i="4"/>
  <c r="Z23" i="7" l="1"/>
  <c r="AE23" i="7" s="1"/>
  <c r="AG23" i="7" s="1"/>
  <c r="M23" i="4" s="1"/>
  <c r="S23" i="4" s="1"/>
  <c r="Z26" i="7"/>
  <c r="AE26" i="7" s="1"/>
  <c r="AG26" i="7" s="1"/>
  <c r="M26" i="4" s="1"/>
  <c r="S26" i="4" s="1"/>
  <c r="Z19" i="7"/>
  <c r="AE19" i="7" s="1"/>
  <c r="AG19" i="7" s="1"/>
  <c r="M19" i="4" s="1"/>
  <c r="S19" i="4" s="1"/>
  <c r="Z22" i="7"/>
  <c r="AE22" i="7" s="1"/>
  <c r="AG22" i="7" s="1"/>
  <c r="M22" i="4" s="1"/>
  <c r="S22" i="4" s="1"/>
  <c r="Z25" i="7"/>
  <c r="AE25" i="7" s="1"/>
  <c r="AG25" i="7" s="1"/>
  <c r="M25" i="4" s="1"/>
  <c r="S25" i="4" s="1"/>
  <c r="Z21" i="7"/>
  <c r="AE21" i="7" s="1"/>
  <c r="AG21" i="7" s="1"/>
  <c r="M21" i="4" s="1"/>
  <c r="S21" i="4" s="1"/>
  <c r="AF21" i="4" s="1"/>
  <c r="AJ21" i="4" s="1"/>
  <c r="Z17" i="7"/>
  <c r="AE17" i="7" s="1"/>
  <c r="AG17" i="7" s="1"/>
  <c r="M17" i="4" s="1"/>
  <c r="S17" i="4" s="1"/>
  <c r="AH17" i="4" s="1"/>
  <c r="Z24" i="7"/>
  <c r="AE24" i="7" s="1"/>
  <c r="AG24" i="7" s="1"/>
  <c r="M24" i="4" s="1"/>
  <c r="S24" i="4" s="1"/>
  <c r="Z18" i="7"/>
  <c r="AE18" i="7" s="1"/>
  <c r="AG18" i="7" s="1"/>
  <c r="M18" i="4" s="1"/>
  <c r="S18" i="4" s="1"/>
  <c r="AC18" i="4" s="1"/>
  <c r="AJ18" i="4" s="1"/>
  <c r="Z20" i="7"/>
  <c r="AE20" i="7" s="1"/>
  <c r="AG20" i="7" s="1"/>
  <c r="M20" i="4" s="1"/>
  <c r="S20" i="4" s="1"/>
  <c r="AC20" i="4" s="1"/>
  <c r="AJ20" i="4" s="1"/>
  <c r="Z16" i="7"/>
  <c r="AE16" i="7" s="1"/>
  <c r="AG16" i="7" s="1"/>
  <c r="M16" i="4" s="1"/>
  <c r="S16" i="4" s="1"/>
  <c r="AF16" i="4" s="1"/>
  <c r="AG15" i="7"/>
  <c r="M15" i="4" s="1"/>
  <c r="AD16" i="4"/>
  <c r="AP49" i="4"/>
  <c r="AN49" i="4" s="1"/>
  <c r="S51" i="4"/>
  <c r="BJ71" i="4" s="1"/>
  <c r="AE17" i="4" l="1"/>
  <c r="AK17" i="4" s="1"/>
  <c r="AC17" i="4"/>
  <c r="AJ17" i="4" s="1"/>
  <c r="AC16" i="4"/>
  <c r="AJ16" i="4" s="1"/>
  <c r="AE16" i="4"/>
  <c r="AK16" i="4" s="1"/>
  <c r="AE27" i="7"/>
  <c r="AF28" i="7" s="1"/>
  <c r="I46" i="3" s="1"/>
  <c r="I49" i="3" s="1"/>
  <c r="Z27" i="7"/>
  <c r="M14" i="4"/>
  <c r="S15" i="4"/>
  <c r="AO49" i="4"/>
  <c r="AH15" i="4" l="1"/>
  <c r="AF15" i="4"/>
  <c r="AG15" i="4"/>
  <c r="AE15" i="4"/>
  <c r="B46" i="3"/>
  <c r="AJ20" i="7"/>
  <c r="AI20" i="7" s="1"/>
  <c r="AI15" i="4"/>
  <c r="S27" i="4"/>
  <c r="AC15" i="4"/>
  <c r="B47" i="4"/>
  <c r="BE49" i="4"/>
  <c r="BL50" i="4" s="1"/>
  <c r="AQ44" i="4"/>
  <c r="I58" i="3"/>
  <c r="B69" i="3" s="1"/>
  <c r="B51" i="3"/>
  <c r="BL49" i="4" l="1"/>
  <c r="BL51" i="4" s="1"/>
  <c r="BL52" i="4" s="1"/>
  <c r="Q47" i="4" s="1"/>
  <c r="B70" i="3"/>
  <c r="B68" i="3"/>
  <c r="B7" i="3"/>
  <c r="K39" i="3"/>
  <c r="B6" i="3"/>
  <c r="I59" i="3"/>
  <c r="AQ46" i="4"/>
  <c r="K40" i="3"/>
  <c r="AD15" i="4"/>
  <c r="AK15" i="4" s="1"/>
  <c r="AK27" i="4" s="1"/>
  <c r="AO43" i="4" s="1"/>
  <c r="AO44" i="4" s="1"/>
  <c r="AO46" i="4" s="1"/>
  <c r="AJ15" i="4"/>
  <c r="AJ27" i="4" s="1"/>
  <c r="R47" i="4" l="1"/>
  <c r="R51" i="4" s="1"/>
  <c r="R68" i="4" s="1"/>
  <c r="Q51" i="4"/>
  <c r="Q55" i="4" s="1"/>
  <c r="S52" i="4" s="1"/>
  <c r="K41" i="3"/>
  <c r="C62" i="3" s="1"/>
  <c r="AN43" i="4"/>
  <c r="T28" i="4"/>
  <c r="AP50" i="4" l="1"/>
  <c r="AN50" i="4" s="1"/>
  <c r="T76" i="4"/>
  <c r="S73" i="4"/>
  <c r="T74" i="4"/>
  <c r="T75" i="4"/>
  <c r="T72" i="4"/>
  <c r="S71" i="4"/>
  <c r="R80" i="4"/>
  <c r="U70" i="4" s="1"/>
  <c r="R69" i="4"/>
  <c r="R73" i="4"/>
  <c r="R71" i="4"/>
  <c r="S70" i="4"/>
  <c r="R70" i="4"/>
  <c r="R79" i="4"/>
  <c r="R55" i="4"/>
  <c r="AN44" i="4"/>
  <c r="AP43" i="4"/>
  <c r="AO48" i="4" l="1"/>
  <c r="AP51" i="4"/>
  <c r="R60" i="4"/>
  <c r="B62" i="4"/>
  <c r="S62" i="4"/>
  <c r="S61" i="4"/>
  <c r="V69" i="4"/>
  <c r="S60" i="4" s="1"/>
  <c r="E60" i="4"/>
  <c r="U69" i="4"/>
  <c r="AO50" i="4"/>
  <c r="AN46" i="4"/>
  <c r="AP44" i="4"/>
  <c r="AP46" i="4" s="1"/>
  <c r="AP55" i="4" l="1"/>
  <c r="AO51" i="4"/>
  <c r="AN51" i="4"/>
  <c r="AN54" i="4"/>
  <c r="AO54" i="4" s="1"/>
  <c r="S64" i="4"/>
  <c r="AL69" i="4"/>
  <c r="R59" i="4"/>
  <c r="R64" i="4" s="1"/>
  <c r="AQ51" i="4" l="1"/>
  <c r="AO55" i="4"/>
  <c r="AN55" i="4"/>
  <c r="R65" i="4"/>
  <c r="R66" i="4" s="1"/>
  <c r="S65" i="4"/>
  <c r="AQ55" i="4" l="1"/>
  <c r="AQ56" i="4" s="1"/>
  <c r="AQ57" i="4" s="1"/>
  <c r="R82" i="4"/>
  <c r="B65" i="4"/>
  <c r="S66" i="4"/>
  <c r="AN57" i="4" l="1"/>
  <c r="R84" i="4" l="1"/>
  <c r="AO57" i="4"/>
  <c r="S84" i="4" s="1"/>
  <c r="R85" i="4" l="1"/>
  <c r="AP57" i="4"/>
</calcChain>
</file>

<file path=xl/sharedStrings.xml><?xml version="1.0" encoding="utf-8"?>
<sst xmlns="http://schemas.openxmlformats.org/spreadsheetml/2006/main" count="904" uniqueCount="621">
  <si>
    <t>automatisches Tagesdatum</t>
  </si>
  <si>
    <t>Gültig ab</t>
  </si>
  <si>
    <t>E2</t>
  </si>
  <si>
    <t>E3</t>
  </si>
  <si>
    <t>E4</t>
  </si>
  <si>
    <t>automatisch ./. gültig ab</t>
  </si>
  <si>
    <t>E5</t>
  </si>
  <si>
    <t>E6</t>
  </si>
  <si>
    <t>Verfalldatum Formular</t>
  </si>
  <si>
    <t>E7</t>
  </si>
  <si>
    <t>Berechnen periode (1 = ja, 0 = nein)</t>
  </si>
  <si>
    <t>Funktion Formular (1 = ja, 0 = nein)</t>
  </si>
  <si>
    <t>Funktion vor Verfall (1 = ja, 0 = nein)</t>
  </si>
  <si>
    <t>E8</t>
  </si>
  <si>
    <t>E9</t>
  </si>
  <si>
    <t>Name/Vorname</t>
  </si>
  <si>
    <t>Geburtsd.</t>
  </si>
  <si>
    <t>Ausweis, Status</t>
  </si>
  <si>
    <t>N</t>
  </si>
  <si>
    <t>Nm</t>
  </si>
  <si>
    <t>F</t>
  </si>
  <si>
    <t>Stopp</t>
  </si>
  <si>
    <t>CH, FL, AuG</t>
  </si>
  <si>
    <t>Einreise</t>
  </si>
  <si>
    <t>Haushalt</t>
  </si>
  <si>
    <t>Unterstützung</t>
  </si>
  <si>
    <t>GB Geld</t>
  </si>
  <si>
    <t>GB Sach</t>
  </si>
  <si>
    <t>KVG Pr.</t>
  </si>
  <si>
    <t>Betrag</t>
  </si>
  <si>
    <t>Adresse</t>
  </si>
  <si>
    <t>Nebenkosten</t>
  </si>
  <si>
    <t>Zusätzliche Leistungen</t>
  </si>
  <si>
    <t>Gemeinde</t>
  </si>
  <si>
    <t>N-Nummer</t>
  </si>
  <si>
    <t>Gültig ab:</t>
  </si>
  <si>
    <t>Erstellt am:</t>
  </si>
  <si>
    <t>Zusätzliche Personen</t>
  </si>
  <si>
    <t>Abz. für Leistungen im GB</t>
  </si>
  <si>
    <t>Unentgeltliches Wohnen</t>
  </si>
  <si>
    <t xml:space="preserve"> § 9 kAV,</t>
  </si>
  <si>
    <t>§10 kAV, Nothilfe,</t>
  </si>
  <si>
    <t>§ 8, kAV</t>
  </si>
  <si>
    <t>Zählen</t>
  </si>
  <si>
    <t>IU</t>
  </si>
  <si>
    <t>KU</t>
  </si>
  <si>
    <t>x</t>
  </si>
  <si>
    <t>§ 8 kAV</t>
  </si>
  <si>
    <t>s25</t>
  </si>
  <si>
    <t>§ 9 kAV</t>
  </si>
  <si>
    <t>=Not</t>
  </si>
  <si>
    <t>t25</t>
  </si>
  <si>
    <t>u25</t>
  </si>
  <si>
    <t>§9 SHV</t>
  </si>
  <si>
    <t>v25</t>
  </si>
  <si>
    <t>w25</t>
  </si>
  <si>
    <t>Basis</t>
  </si>
  <si>
    <t>GB</t>
  </si>
  <si>
    <t>P Haushalt</t>
  </si>
  <si>
    <t>P Unterstützung</t>
  </si>
  <si>
    <t>Jugendlich</t>
  </si>
  <si>
    <t>Ansätze für den Grundbedarf gemäss SHV und kAV</t>
  </si>
  <si>
    <t>x25</t>
  </si>
  <si>
    <t>y25</t>
  </si>
  <si>
    <t>Grundbedarf</t>
  </si>
  <si>
    <t>VA</t>
  </si>
  <si>
    <t>VA7+</t>
  </si>
  <si>
    <t>Jugendliche Person unter 25 Jahren</t>
  </si>
  <si>
    <t>Miete gemäss Vertrag</t>
  </si>
  <si>
    <t>Unter-</t>
  </si>
  <si>
    <t>kunft</t>
  </si>
  <si>
    <t>Personalien</t>
  </si>
  <si>
    <t>Grundbedarf ohne Haushalt</t>
  </si>
  <si>
    <t>Herabsetzung Grundbedarf</t>
  </si>
  <si>
    <t>von Erfassen</t>
  </si>
  <si>
    <t>lmiitierung</t>
  </si>
  <si>
    <t>für Berechnung</t>
  </si>
  <si>
    <t>-Personen-Haushalt</t>
  </si>
  <si>
    <t xml:space="preserve">im </t>
  </si>
  <si>
    <t xml:space="preserve">Person </t>
  </si>
  <si>
    <t xml:space="preserve">Personen </t>
  </si>
  <si>
    <t>Kopfquote</t>
  </si>
  <si>
    <t xml:space="preserve">Jugendliche Person </t>
  </si>
  <si>
    <t>Jugendliche Person, § 8 kAV, 1/2 2 Personen</t>
  </si>
  <si>
    <t xml:space="preserve">Grundbedarf § 9 kAV, </t>
  </si>
  <si>
    <t xml:space="preserve">Grundbedarf § 10 kAV, Nothilfe, </t>
  </si>
  <si>
    <t xml:space="preserve">Grundbedarf § 9 SHV, </t>
  </si>
  <si>
    <t>Jugendliche Person, § 9 SHV, 1/2 2 Personen</t>
  </si>
  <si>
    <t>2 GB 1</t>
  </si>
  <si>
    <t>2 GB 2</t>
  </si>
  <si>
    <t xml:space="preserve">Grundbedarf § 8 kAV,  </t>
  </si>
  <si>
    <t>1 GB 1</t>
  </si>
  <si>
    <t>3 GB 1</t>
  </si>
  <si>
    <t>3 GB 2</t>
  </si>
  <si>
    <t>3 GB 3</t>
  </si>
  <si>
    <t>Z 1</t>
  </si>
  <si>
    <t>Z 2</t>
  </si>
  <si>
    <t>Z 3</t>
  </si>
  <si>
    <t>Beschreibung</t>
  </si>
  <si>
    <t>Herabsetzung %</t>
  </si>
  <si>
    <t>Mietzinsgrenzwert 2 Pers.</t>
  </si>
  <si>
    <t>Bei Jugendlichen bis 25 Jahren</t>
  </si>
  <si>
    <t>Stopp mit 25 J Mietlimitierung</t>
  </si>
  <si>
    <t>kAV</t>
  </si>
  <si>
    <t>SHV</t>
  </si>
  <si>
    <t>UNTERSTÜTZUNG</t>
  </si>
  <si>
    <t>Von Erfassung</t>
  </si>
  <si>
    <t>Miete</t>
  </si>
  <si>
    <t>MGW 2 Pers</t>
  </si>
  <si>
    <t>Haushalt Erfassung</t>
  </si>
  <si>
    <t>KAV 8</t>
  </si>
  <si>
    <t>kAV 9</t>
  </si>
  <si>
    <t>kAV 10</t>
  </si>
  <si>
    <t>SHV 9</t>
  </si>
  <si>
    <t>kAV 8</t>
  </si>
  <si>
    <t>KAV 9</t>
  </si>
  <si>
    <t>kAV8 SHV 9</t>
  </si>
  <si>
    <t>kav8 kAV10</t>
  </si>
  <si>
    <t>kAV9 kav 10</t>
  </si>
  <si>
    <t>WOHNKOSTEN</t>
  </si>
  <si>
    <t>SHV 9 kAV9</t>
  </si>
  <si>
    <t>SHV 9 kAV10</t>
  </si>
  <si>
    <t>SHV 9 kAV 9 kAV10</t>
  </si>
  <si>
    <t>SHV 9 kAV8 kAV 10</t>
  </si>
  <si>
    <t>Indivdual</t>
  </si>
  <si>
    <t>Kollektiv</t>
  </si>
  <si>
    <t>Miete und NK ohne KQ</t>
  </si>
  <si>
    <t>Miete und NK mit KQ</t>
  </si>
  <si>
    <t>Miete und NK Erw.</t>
  </si>
  <si>
    <t>Jugendliche</t>
  </si>
  <si>
    <t>8 kAV</t>
  </si>
  <si>
    <t>9 SHV</t>
  </si>
  <si>
    <t>10 kAV IU</t>
  </si>
  <si>
    <t>U25</t>
  </si>
  <si>
    <t>§10 kAV</t>
  </si>
  <si>
    <t>Miete definitiv</t>
  </si>
  <si>
    <t>limitierung</t>
  </si>
  <si>
    <t>inkl.</t>
  </si>
  <si>
    <t>E66</t>
  </si>
  <si>
    <t xml:space="preserve">inkl. </t>
  </si>
  <si>
    <t xml:space="preserve">exkl. </t>
  </si>
  <si>
    <t>Angemessene Wohnkosten</t>
  </si>
  <si>
    <t>1/2 Mietzinsgrenzwert 2 Personen =</t>
  </si>
  <si>
    <t>Obligatorische Kranken- und Unfallversicherung</t>
  </si>
  <si>
    <t>Prämien</t>
  </si>
  <si>
    <t>Prämienverbilligung</t>
  </si>
  <si>
    <t>Unterkunft</t>
  </si>
  <si>
    <t>Individualunterkunft</t>
  </si>
  <si>
    <t>Kollektivunterkunft</t>
  </si>
  <si>
    <t>Übersicht über die Prämien der obligatorischen Kranken- und Unfallversicherung,</t>
  </si>
  <si>
    <t xml:space="preserve">der Durchschnittsprämien des EDI und der Richtprämien der individuellen </t>
  </si>
  <si>
    <t>Krankenversicherung gemäss KVG</t>
  </si>
  <si>
    <t>Aufteilung der Gemeinden des  Kantons Basel-Landschaft</t>
  </si>
  <si>
    <t>auf die Prämienregionen gemäss BAG</t>
  </si>
  <si>
    <t>Region</t>
  </si>
  <si>
    <t>Jahrgänge von bis</t>
  </si>
  <si>
    <t>und älter</t>
  </si>
  <si>
    <t>Erwachsene</t>
  </si>
  <si>
    <t>Kinder</t>
  </si>
  <si>
    <t>Aesch</t>
  </si>
  <si>
    <t>Allschwil</t>
  </si>
  <si>
    <t>Anwil</t>
  </si>
  <si>
    <t>Arboldswil</t>
  </si>
  <si>
    <t>Arisdorf</t>
  </si>
  <si>
    <t>Arlesheim</t>
  </si>
  <si>
    <t>Augst</t>
  </si>
  <si>
    <t>Bennwil</t>
  </si>
  <si>
    <t>Biel-Benken</t>
  </si>
  <si>
    <t>Binningen</t>
  </si>
  <si>
    <t>Birsfelden</t>
  </si>
  <si>
    <t>Blauen</t>
  </si>
  <si>
    <t>Böckten</t>
  </si>
  <si>
    <t>Bottmingen</t>
  </si>
  <si>
    <t>Bretzwil</t>
  </si>
  <si>
    <t>Brislach</t>
  </si>
  <si>
    <t>Bubendorf</t>
  </si>
  <si>
    <t>Buckten</t>
  </si>
  <si>
    <t>Burg</t>
  </si>
  <si>
    <t>Buus</t>
  </si>
  <si>
    <t>Diegten</t>
  </si>
  <si>
    <t>Diepflingen</t>
  </si>
  <si>
    <t>Dittingen</t>
  </si>
  <si>
    <t>Duggingen</t>
  </si>
  <si>
    <t>Eptingen</t>
  </si>
  <si>
    <t>Ettingen</t>
  </si>
  <si>
    <t>Frenkendorf</t>
  </si>
  <si>
    <t>Füllinsdorf</t>
  </si>
  <si>
    <t>Gelterkinden</t>
  </si>
  <si>
    <t>Giebenach</t>
  </si>
  <si>
    <t>Grellingen</t>
  </si>
  <si>
    <t>Häfelfingen</t>
  </si>
  <si>
    <t>Hemmiken</t>
  </si>
  <si>
    <t>Hersberg</t>
  </si>
  <si>
    <t>Hölstein</t>
  </si>
  <si>
    <t>Itingen</t>
  </si>
  <si>
    <t>Känerkinden</t>
  </si>
  <si>
    <t>Kilchberg</t>
  </si>
  <si>
    <t>Lampenberg</t>
  </si>
  <si>
    <t>Langenbruck</t>
  </si>
  <si>
    <t>Läufelfingen</t>
  </si>
  <si>
    <t>Laufen</t>
  </si>
  <si>
    <t>Lausen</t>
  </si>
  <si>
    <t>Lauwil</t>
  </si>
  <si>
    <t>Liedertswil</t>
  </si>
  <si>
    <t>Liesberg</t>
  </si>
  <si>
    <t>Liestal</t>
  </si>
  <si>
    <t>Lupsingen</t>
  </si>
  <si>
    <t>Maisprach</t>
  </si>
  <si>
    <t>Münchenstein</t>
  </si>
  <si>
    <t>Muttenz</t>
  </si>
  <si>
    <t>Nenzlingen</t>
  </si>
  <si>
    <t>Niederdorf</t>
  </si>
  <si>
    <t>Nusshof</t>
  </si>
  <si>
    <t>Oberdorf</t>
  </si>
  <si>
    <t>Oberwil</t>
  </si>
  <si>
    <t>Oltingen</t>
  </si>
  <si>
    <t>Ormalingen</t>
  </si>
  <si>
    <t>Pfeffingen</t>
  </si>
  <si>
    <t>Pratteln</t>
  </si>
  <si>
    <t>Ramlinsburg</t>
  </si>
  <si>
    <t>Reigoldswil</t>
  </si>
  <si>
    <t>Reinach</t>
  </si>
  <si>
    <t>Rickenbach</t>
  </si>
  <si>
    <t>Roggenburg</t>
  </si>
  <si>
    <t>Röschenz</t>
  </si>
  <si>
    <t>Rothenfluh</t>
  </si>
  <si>
    <t>Rümlingen</t>
  </si>
  <si>
    <t>Rünenberg</t>
  </si>
  <si>
    <t>Schönenbuch</t>
  </si>
  <si>
    <t>Seltisberg</t>
  </si>
  <si>
    <t>Sissach</t>
  </si>
  <si>
    <t>Tecknau</t>
  </si>
  <si>
    <t>Tenniken</t>
  </si>
  <si>
    <t>Therwil</t>
  </si>
  <si>
    <t>Thürnen</t>
  </si>
  <si>
    <t>Titterten</t>
  </si>
  <si>
    <t>Wahlen</t>
  </si>
  <si>
    <t>Waldenburg</t>
  </si>
  <si>
    <t>Wenslingen</t>
  </si>
  <si>
    <t>Wintersingen</t>
  </si>
  <si>
    <t>Wittinsburg</t>
  </si>
  <si>
    <t>Zeglingen</t>
  </si>
  <si>
    <t>Ziefen</t>
  </si>
  <si>
    <t>Zunzgen</t>
  </si>
  <si>
    <t>Zwingen</t>
  </si>
  <si>
    <t>UND KVG</t>
  </si>
  <si>
    <t>pv</t>
  </si>
  <si>
    <t>E</t>
  </si>
  <si>
    <t>J</t>
  </si>
  <si>
    <t>K</t>
  </si>
  <si>
    <t>Erw</t>
  </si>
  <si>
    <t>Jug</t>
  </si>
  <si>
    <t>PV</t>
  </si>
  <si>
    <t>Gemeinde (PLZ)</t>
  </si>
  <si>
    <t xml:space="preserve">Prämienregion </t>
  </si>
  <si>
    <t xml:space="preserve">Prämie </t>
  </si>
  <si>
    <t>datum</t>
  </si>
  <si>
    <t>Geburts-</t>
  </si>
  <si>
    <t>Total</t>
  </si>
  <si>
    <t>&lt;=18</t>
  </si>
  <si>
    <t>19-25</t>
  </si>
  <si>
    <t>&gt;=26</t>
  </si>
  <si>
    <t>Jahr-</t>
  </si>
  <si>
    <t>gang</t>
  </si>
  <si>
    <t>Funktion Formular</t>
  </si>
  <si>
    <t>Police</t>
  </si>
  <si>
    <t>EDI</t>
  </si>
  <si>
    <t>Richt-</t>
  </si>
  <si>
    <t>Prämie</t>
  </si>
  <si>
    <t>Totale der Prämien</t>
  </si>
  <si>
    <t>Weitere Leistungen zur Erhöhung des Grundbedarfs</t>
  </si>
  <si>
    <t>Unterstützungsbedarf</t>
  </si>
  <si>
    <t>Einnahmen</t>
  </si>
  <si>
    <t>Geb.Dat.</t>
  </si>
  <si>
    <t>Personen-</t>
  </si>
  <si>
    <t>Zuordnung</t>
  </si>
  <si>
    <t>9SHV</t>
  </si>
  <si>
    <t>9 kAV</t>
  </si>
  <si>
    <t>10 kAV</t>
  </si>
  <si>
    <t>KVG</t>
  </si>
  <si>
    <t>§ 9 SHV</t>
  </si>
  <si>
    <t>Bedarf</t>
  </si>
  <si>
    <t>Bedarf 1</t>
  </si>
  <si>
    <t>Nettobedarf</t>
  </si>
  <si>
    <t>Jugendliche 25</t>
  </si>
  <si>
    <t>U.</t>
  </si>
  <si>
    <t>IPV</t>
  </si>
  <si>
    <t>Erfassen</t>
  </si>
  <si>
    <t>Ustü</t>
  </si>
  <si>
    <t>U</t>
  </si>
  <si>
    <t>St</t>
  </si>
  <si>
    <t>Netto</t>
  </si>
  <si>
    <t>Fr.</t>
  </si>
  <si>
    <t>%</t>
  </si>
  <si>
    <t>Fr</t>
  </si>
  <si>
    <t>Freie Einkünfte</t>
  </si>
  <si>
    <t>Person 100%</t>
  </si>
  <si>
    <t>max. HH</t>
  </si>
  <si>
    <t>min. Pers</t>
  </si>
  <si>
    <t>max. Person</t>
  </si>
  <si>
    <t>Std für 100%</t>
  </si>
  <si>
    <t>Freibeträge</t>
  </si>
  <si>
    <t>Lehre</t>
  </si>
  <si>
    <t>SHV FE &lt;50</t>
  </si>
  <si>
    <t>P &lt; 50%</t>
  </si>
  <si>
    <t>Min Eink für FE</t>
  </si>
  <si>
    <t>.</t>
  </si>
  <si>
    <t>Ehe</t>
  </si>
  <si>
    <t>Gefestigte Lebensgemeinschaft</t>
  </si>
  <si>
    <t>Nicht gefestigte Lebensgemeinschaft</t>
  </si>
  <si>
    <t>gefestigte LG</t>
  </si>
  <si>
    <t>g, E1+, E2 0</t>
  </si>
  <si>
    <t>g, E1 0, E2 +</t>
  </si>
  <si>
    <t>g, E1 &lt;, E2 0</t>
  </si>
  <si>
    <t>g, E1 0, E2&lt;</t>
  </si>
  <si>
    <t>g, E1 &lt;, E2 &lt;</t>
  </si>
  <si>
    <t>Keine Angabe</t>
  </si>
  <si>
    <t>o, E1 od E2</t>
  </si>
  <si>
    <t>g, E1+, E2&lt;</t>
  </si>
  <si>
    <t>g, E1&lt;, E2+</t>
  </si>
  <si>
    <t>Grundbedarf als Sachleistung</t>
  </si>
  <si>
    <t>Ohne Zuteilung</t>
  </si>
  <si>
    <t>ohne</t>
  </si>
  <si>
    <t>Nebenkosten gem. Vertrag</t>
  </si>
  <si>
    <t>Netto-Bedarf</t>
  </si>
  <si>
    <t>Not,m</t>
  </si>
  <si>
    <t>Not Stopp</t>
  </si>
  <si>
    <t>m</t>
  </si>
  <si>
    <t>Rechnen</t>
  </si>
  <si>
    <t>Unent-</t>
  </si>
  <si>
    <t>Erwerbstätigkeit</t>
  </si>
  <si>
    <t>Unentgeltliche Haushaltsführung</t>
  </si>
  <si>
    <t>Unterhaltsbeiträge</t>
  </si>
  <si>
    <t>Keine Einnahmen</t>
  </si>
  <si>
    <t>Leistungen von Sozialversicherungen (ALV, AHV, IV, EL usw.)</t>
  </si>
  <si>
    <t>Das Total der Prämien übersteigt den Betrag der regionalen Durchschnittsprämie</t>
  </si>
  <si>
    <t>Unterstützungsbedarf netto</t>
  </si>
  <si>
    <t>Steuerung Gemeindenamen</t>
  </si>
  <si>
    <t>Ae</t>
  </si>
  <si>
    <t>Bie</t>
  </si>
  <si>
    <t>Bub</t>
  </si>
  <si>
    <t>Ep</t>
  </si>
  <si>
    <t>Hem</t>
  </si>
  <si>
    <t>Läu</t>
  </si>
  <si>
    <t>Ma</t>
  </si>
  <si>
    <t>Ol</t>
  </si>
  <si>
    <t>Rog</t>
  </si>
  <si>
    <t>Tec</t>
  </si>
  <si>
    <t>Ben</t>
  </si>
  <si>
    <t>Bri</t>
  </si>
  <si>
    <t>Dug</t>
  </si>
  <si>
    <t>Hä</t>
  </si>
  <si>
    <t>Lan</t>
  </si>
  <si>
    <t>Lup</t>
  </si>
  <si>
    <t>Owi</t>
  </si>
  <si>
    <t>Ric</t>
  </si>
  <si>
    <t>Si</t>
  </si>
  <si>
    <t>We</t>
  </si>
  <si>
    <t>Wi</t>
  </si>
  <si>
    <t>li4254</t>
  </si>
  <si>
    <t xml:space="preserve">Sozialhilfebehörde </t>
  </si>
  <si>
    <t>Anrede</t>
  </si>
  <si>
    <t>Verfügung Unterstützung gemäss kantonaler Asylverordnung (kAV)</t>
  </si>
  <si>
    <t xml:space="preserve">c/o </t>
  </si>
  <si>
    <t>Herr</t>
  </si>
  <si>
    <t>c/o Person</t>
  </si>
  <si>
    <t>c/o Gemeinde</t>
  </si>
  <si>
    <t xml:space="preserve"> PLZ Ort</t>
  </si>
  <si>
    <t>extern</t>
  </si>
  <si>
    <t>m/w</t>
  </si>
  <si>
    <t>w</t>
  </si>
  <si>
    <t>Frau</t>
  </si>
  <si>
    <t>Rekapitulationsblatt</t>
  </si>
  <si>
    <t>Herrn</t>
  </si>
  <si>
    <t>gewährt.</t>
  </si>
  <si>
    <t xml:space="preserve"> wird ab </t>
  </si>
  <si>
    <t xml:space="preserve"> eine monatliche Unterstützung von Fr. </t>
  </si>
  <si>
    <t xml:space="preserve"> keine Unterstützung </t>
  </si>
  <si>
    <t>://: Entscheid</t>
  </si>
  <si>
    <t>1.</t>
  </si>
  <si>
    <t>Sachleistung</t>
  </si>
  <si>
    <t>2.</t>
  </si>
  <si>
    <t>3.</t>
  </si>
  <si>
    <t>stützungshöhe zur Folge haben könnten, unverzüglich dem Sozialdienst oder der Sozialhilfebehörde mitzuteilen. Im Widerhand-</t>
  </si>
  <si>
    <t>lungsfalle gelten zuviel ausgerichtete Unterstützungen als unrechtmässig bezogen und sind zurückzuzahlen.</t>
  </si>
  <si>
    <t xml:space="preserve">  wird verpflichtet, sämtliche Veränderungen der Verhältnisse, die eine Änderung der Unter-</t>
  </si>
  <si>
    <t xml:space="preserve">Der Grundbedarf wird </t>
  </si>
  <si>
    <t>in Form von Sachleistungen ausgerichtet.</t>
  </si>
  <si>
    <t>Rechtsmittelbelehrung:</t>
  </si>
  <si>
    <t>Gegen diese Verfügung kann innert 10 Tagen seit Zustellung schriftlich und begründet bei der oben erwähnten Sozial-</t>
  </si>
  <si>
    <t>hilfebehörde Einsprache erhoben werden. In der Einsprache sind die Begehren deutlich anzugeben und zu begründen,</t>
  </si>
  <si>
    <t>sowie sachdienliche Unterlagen beizulegen. Eine Kopie dieser Verfügung ist ebenfalls beizulegen.</t>
  </si>
  <si>
    <t>Unterschriften Sozialhilfebehörde</t>
  </si>
  <si>
    <t>Ort, Datum</t>
  </si>
  <si>
    <t>Präsident/in</t>
  </si>
  <si>
    <t xml:space="preserve">KSA </t>
  </si>
  <si>
    <t xml:space="preserve">N </t>
  </si>
  <si>
    <t>Unterstützte Person:</t>
  </si>
  <si>
    <t>Unterstützte Personen:</t>
  </si>
  <si>
    <t xml:space="preserve">Gemeinde </t>
  </si>
  <si>
    <t xml:space="preserve">Stadt </t>
  </si>
  <si>
    <t>Aktuar/in</t>
  </si>
  <si>
    <t>+GB</t>
  </si>
  <si>
    <t>o HH</t>
  </si>
  <si>
    <t>NK</t>
  </si>
  <si>
    <t>Tage U-Monat</t>
  </si>
  <si>
    <t>Pers. m. U</t>
  </si>
  <si>
    <t>gült. ab</t>
  </si>
  <si>
    <t>VA W</t>
  </si>
  <si>
    <t>E+7</t>
  </si>
  <si>
    <t>Beginn</t>
  </si>
  <si>
    <t>Ende</t>
  </si>
  <si>
    <t>7+</t>
  </si>
  <si>
    <t>VA7+W</t>
  </si>
  <si>
    <t>VA+VA W</t>
  </si>
  <si>
    <t>Sto</t>
  </si>
  <si>
    <t>Unterstützung ohne Grundbedarf</t>
  </si>
  <si>
    <t>Verteilung Grundbedarf</t>
  </si>
  <si>
    <t>8 kAV N</t>
  </si>
  <si>
    <t>8 kAV F</t>
  </si>
  <si>
    <t>8 kAV 7+</t>
  </si>
  <si>
    <t>9 kAV N</t>
  </si>
  <si>
    <t>9 kAV F</t>
  </si>
  <si>
    <t>9 kAV 7+</t>
  </si>
  <si>
    <t>8 kAVFW</t>
  </si>
  <si>
    <t>9 kAV FW</t>
  </si>
  <si>
    <t>8 kAV F W</t>
  </si>
  <si>
    <t>9 kAV F W</t>
  </si>
  <si>
    <t>übrige Kosten</t>
  </si>
  <si>
    <t>Fr. E</t>
  </si>
  <si>
    <t>Auszahlungs- und Buchungsbeleg</t>
  </si>
  <si>
    <t>Angemessene Wohnungskosten</t>
  </si>
  <si>
    <t>An Dritte</t>
  </si>
  <si>
    <t xml:space="preserve">An </t>
  </si>
  <si>
    <t>Klient/in</t>
  </si>
  <si>
    <t>Abtretung</t>
  </si>
  <si>
    <t>Unterstützungsbedarf (netto)</t>
  </si>
  <si>
    <t>Unterstützungsbedarf (brutto)</t>
  </si>
  <si>
    <t>Teilzahlung Grundbedarf</t>
  </si>
  <si>
    <t>Nur Grundbedarf</t>
  </si>
  <si>
    <t>von</t>
  </si>
  <si>
    <t>Abzüge für Leistungen im Grundbedarf</t>
  </si>
  <si>
    <t>Vormonat</t>
  </si>
  <si>
    <t>Lfd Monat</t>
  </si>
  <si>
    <t>Folgemonat</t>
  </si>
  <si>
    <t>bis und mit</t>
  </si>
  <si>
    <t xml:space="preserve"> bis und mit </t>
  </si>
  <si>
    <t xml:space="preserve">Teilzahlung vom </t>
  </si>
  <si>
    <t>lfd</t>
  </si>
  <si>
    <t>vor</t>
  </si>
  <si>
    <t>folg</t>
  </si>
  <si>
    <t>Gutschrift</t>
  </si>
  <si>
    <t>Belastung</t>
  </si>
  <si>
    <t>Auszahlung</t>
  </si>
  <si>
    <t>Rechnung</t>
  </si>
  <si>
    <t>Anrechenbar</t>
  </si>
  <si>
    <t>Netto-Einnahmen</t>
  </si>
  <si>
    <t>Aufzurechnen</t>
  </si>
  <si>
    <t>Nettoeinnahmen</t>
  </si>
  <si>
    <t xml:space="preserve"> an die Sozialhilfebhörde abgetreten</t>
  </si>
  <si>
    <t xml:space="preserve">Nettoeinnahmen von Fr. </t>
  </si>
  <si>
    <t>Einnahmen bei Klient, Klient an Dritte</t>
  </si>
  <si>
    <t xml:space="preserve">Die Einnahmen von Fr. </t>
  </si>
  <si>
    <t xml:space="preserve"> sind nicht an die Sozialhilfe abgetreten und übersteigen den Betrag der Direktzahlungen an die Gläubiger von Fr. </t>
  </si>
  <si>
    <t>Bedarf, Einnahmen abgetreten, Gemeinde an Dritte</t>
  </si>
  <si>
    <t>Einnahmenüberschuss, Einnahmen nicht abgetreten, Gemeinde an Dritte</t>
  </si>
  <si>
    <t>Kontoart</t>
  </si>
  <si>
    <t>Funktion</t>
  </si>
  <si>
    <t>Solange Asylsuchende  und Schutzbedürftige ohne Aufenthaltsbewilligung ganz oder teilweise Sozialhilfe beziehen, ist ihr Anspruch auf die Prämienverbilligung</t>
  </si>
  <si>
    <t>Anspruch auf eine Aufenthaltsbewilligung haben oder keine Sozialhilfe mehr beziehen.</t>
  </si>
  <si>
    <t>Art. 82a Abs. 7 AsylG</t>
  </si>
  <si>
    <t>Art. 5b AsylV2</t>
  </si>
  <si>
    <t>Der Anspruch von vorläufig aufgenommenen Personen auf Prämienverbilligungsbeiträge nach Artikel 65 des Bundegesetzes vom 18. März 1994 über die</t>
  </si>
  <si>
    <t>Prämienverbilligung im Asylbereich:</t>
  </si>
  <si>
    <t>Krankenversicherung lebt sieben Jahre nach deren Einreise wieder auf.</t>
  </si>
  <si>
    <t>Monatliche Durchschnittsprämien des EDI für die</t>
  </si>
  <si>
    <t>Erwach-</t>
  </si>
  <si>
    <t>sene</t>
  </si>
  <si>
    <t>Jugend-</t>
  </si>
  <si>
    <t>liche</t>
  </si>
  <si>
    <t xml:space="preserve">nach Artikel 65 KVG sistiert. Der Anspruch lebt in dem Zeitpunkt auf, in dem diese Personen als Flüchtlinge anerkannt werden, als Schutzbedürftige einen </t>
  </si>
  <si>
    <t xml:space="preserve"> vom </t>
  </si>
  <si>
    <t xml:space="preserve"> gültig ab </t>
  </si>
  <si>
    <t>Kosten für Bewilligungen etc.</t>
  </si>
  <si>
    <t>Erwerbs-</t>
  </si>
  <si>
    <t>einkünfte</t>
  </si>
  <si>
    <t>Lohnbeleg</t>
  </si>
  <si>
    <t>Aufzurech-</t>
  </si>
  <si>
    <t>nende Be-</t>
  </si>
  <si>
    <t>träge</t>
  </si>
  <si>
    <t>Anrechen-</t>
  </si>
  <si>
    <t>bares Er-</t>
  </si>
  <si>
    <t>werbsein-</t>
  </si>
  <si>
    <t>kommen</t>
  </si>
  <si>
    <t>Pen-</t>
  </si>
  <si>
    <t>sum</t>
  </si>
  <si>
    <t>Gelei-</t>
  </si>
  <si>
    <t xml:space="preserve">stete </t>
  </si>
  <si>
    <t>Arbeits-</t>
  </si>
  <si>
    <t>zeit</t>
  </si>
  <si>
    <t>Leistun-</t>
  </si>
  <si>
    <t xml:space="preserve">gen von </t>
  </si>
  <si>
    <t>Sozial-</t>
  </si>
  <si>
    <t>versiche-</t>
  </si>
  <si>
    <t>träge (1)</t>
  </si>
  <si>
    <t>(2)</t>
  </si>
  <si>
    <t>Std. (2)</t>
  </si>
  <si>
    <t>(2) Pensum gemäss Lohnabrechnung oder Arbeitsvertrag. Bei Personen mit Arbeitsverhältnis</t>
  </si>
  <si>
    <t>im Stundenlohn, die Stunden gemäss Lohnabrechnung. Umrechnung auf der Grundlage von</t>
  </si>
  <si>
    <t>187 Arbeitsstunden im Monat für ein Vollpensum.</t>
  </si>
  <si>
    <t>Freie Ein-</t>
  </si>
  <si>
    <t>künfte</t>
  </si>
  <si>
    <t>Lehre (3)</t>
  </si>
  <si>
    <t>SHV (3)</t>
  </si>
  <si>
    <t>geltliche</t>
  </si>
  <si>
    <t>Haus-</t>
  </si>
  <si>
    <t>haltsfüh-</t>
  </si>
  <si>
    <t>rung</t>
  </si>
  <si>
    <t>haltsbei-</t>
  </si>
  <si>
    <t>(3) Lehre: ein x eintragen, wenn die Person in einem Lehrverhältnis steht.</t>
  </si>
  <si>
    <t>(3) Freie Einkünfte SHV: Betrag der freien Einkünfte gemäss den Bestimmungen der SHV</t>
  </si>
  <si>
    <t xml:space="preserve">(4) Leistungen von Sozialversicherungen = Renten oder Taggelder der AHV, IV, ALV, EL, Familienzulagen </t>
  </si>
  <si>
    <t xml:space="preserve">für Nicht-Erwerbstätige, Unfall-, Krankentaggelder etc. </t>
  </si>
  <si>
    <t>Die Prämienverbilligung ist hier nicht zu berücksichtigen.</t>
  </si>
  <si>
    <t>(1) Aufzurechnen sind Abzüge wie die Quellensteuer, Verbandsbeiträge, Abzüge für Verpflegung,</t>
  </si>
  <si>
    <t>Namen</t>
  </si>
  <si>
    <t>Anrechnung</t>
  </si>
  <si>
    <t>g, E1+, E2+</t>
  </si>
  <si>
    <t>Pers</t>
  </si>
  <si>
    <t>Zähl</t>
  </si>
  <si>
    <t>Funkt. Formular</t>
  </si>
  <si>
    <t>L76</t>
  </si>
  <si>
    <t>Einnahmenüberschuss, Einnahmen abgetreten, Klient an Dritte</t>
  </si>
  <si>
    <t>Unterstützungsbedarf, Einnahmen abgetreten, Klient an Dritte</t>
  </si>
  <si>
    <t xml:space="preserve">Herabsetzung </t>
  </si>
  <si>
    <t>Herabsetzung</t>
  </si>
  <si>
    <t>Hearabsetzung</t>
  </si>
  <si>
    <t xml:space="preserve"> von Fr. </t>
  </si>
  <si>
    <t>o21</t>
  </si>
  <si>
    <t>n24</t>
  </si>
  <si>
    <t>o22</t>
  </si>
  <si>
    <t>Vollständigkeit Erfassung</t>
  </si>
  <si>
    <t>PLZ</t>
  </si>
  <si>
    <t>N-Nr.</t>
  </si>
  <si>
    <t>erstellt am</t>
  </si>
  <si>
    <t>Name</t>
  </si>
  <si>
    <t>m w</t>
  </si>
  <si>
    <t>Geb.dat</t>
  </si>
  <si>
    <t>Status</t>
  </si>
  <si>
    <t>Ukft</t>
  </si>
  <si>
    <t>vollständig</t>
  </si>
  <si>
    <t>Wohnt unentgeltlich bei Dritten</t>
  </si>
  <si>
    <t xml:space="preserve"> x bei Direktzahlung</t>
  </si>
  <si>
    <t>GB ohne Haushalt (Betrag)</t>
  </si>
  <si>
    <t>Direktzahlung KVG-Prämie</t>
  </si>
  <si>
    <t>Überweisung auf Konto:</t>
  </si>
  <si>
    <t>GB ohne Haushalt</t>
  </si>
  <si>
    <t>GB o HH</t>
  </si>
  <si>
    <t>nur</t>
  </si>
  <si>
    <t>§8 kAV</t>
  </si>
  <si>
    <t xml:space="preserve">§9kav </t>
  </si>
  <si>
    <t>10kav</t>
  </si>
  <si>
    <t>9shv</t>
  </si>
  <si>
    <t>Nur KVG</t>
  </si>
  <si>
    <t>nur KVG</t>
  </si>
  <si>
    <t>Summe kAV</t>
  </si>
  <si>
    <t>Summe SHV</t>
  </si>
  <si>
    <t>Summe U</t>
  </si>
  <si>
    <t>nur KVG: Verfügung oder Rekap in Unterstützung</t>
  </si>
  <si>
    <t>Vollständigkeit: gleiche Anzahl m/w, Ged. Dat, Status, Prämien</t>
  </si>
  <si>
    <t>Gültig ab bis aut. Datum</t>
  </si>
  <si>
    <t>Ausweis Kopfquote auf Verfügung</t>
  </si>
  <si>
    <t>c/o Zusatz bei c/o-Name auf Verfügung</t>
  </si>
  <si>
    <t>Warnungen IPV und FaZNE?</t>
  </si>
  <si>
    <t>evtl Feld Familienoberhaupt einfügen</t>
  </si>
  <si>
    <t>=Herabsetzung Grundbedarf</t>
  </si>
  <si>
    <t xml:space="preserve">Einnahmen </t>
  </si>
  <si>
    <t>Direktzahlungen an Gläubiger</t>
  </si>
  <si>
    <t>Dr</t>
  </si>
  <si>
    <t>Nettobedarf,Einnahmen bei K und höher Direktzahlungen, Gemeinde an Dritte E</t>
  </si>
  <si>
    <t>Nettobedarf,Einnahmen bei K und höher Direktzahlungen, Gemeinde an Dritte Dr.</t>
  </si>
  <si>
    <t xml:space="preserve"> sind an die Sozialhilfe abgetreten.</t>
  </si>
  <si>
    <t>Unterstützungsbedarf, Einnahmen bei Klient und kleiner Direktzahlungen, Gemeinde an Dritte (Einn)</t>
  </si>
  <si>
    <t>Unterstützungsbedarf, Einnahmen bei Klien und kleiner Direktzahlungen, Gemeinde an Dritte (Dir)</t>
  </si>
  <si>
    <t>Der Grundbedarf wird in Form von Sachleistungungen ausgerichtet</t>
  </si>
  <si>
    <t>Unterstützung erhalten</t>
  </si>
  <si>
    <t>Ort, Datum, Unterschrift</t>
  </si>
  <si>
    <t>Unterschriften Sozialhlfebehörde</t>
  </si>
  <si>
    <t>Überschuss Konkubinatspartner/in</t>
  </si>
  <si>
    <t>Eigene Einnahmen</t>
  </si>
  <si>
    <t>Überschuss</t>
  </si>
  <si>
    <t>Anr. Eink.</t>
  </si>
  <si>
    <t>Soz.Vers</t>
  </si>
  <si>
    <t>Ue HH</t>
  </si>
  <si>
    <t>UH Bei</t>
  </si>
  <si>
    <t>Übersch</t>
  </si>
  <si>
    <t>Rechtsmittelbelehrung</t>
  </si>
  <si>
    <t>Zustellung der Verfügung bei der oben erwähnten Sozialhilfebehörde Einsprache erheben.</t>
  </si>
  <si>
    <t xml:space="preserve">Gegen die vorliegende Berechnung Ihrer Sozialhilfeunterstützung können Sie innert 10 Tagen seit der </t>
  </si>
  <si>
    <t>Bedarf, Einnahmen abgetreten, Klient an Dritte; Abzüge</t>
  </si>
  <si>
    <t>Aufteilung der Unterstützungskosten und der Einnahmen</t>
  </si>
  <si>
    <t>in einer gefestigten Lebensgemeinschaft</t>
  </si>
  <si>
    <t>Weitere anrechenbare Kosten</t>
  </si>
  <si>
    <t>rungen</t>
  </si>
  <si>
    <t>Summe Stopp</t>
  </si>
  <si>
    <t>Tage auto Datum bis Gültig ab = 28</t>
  </si>
  <si>
    <t>Pro rat gl</t>
  </si>
  <si>
    <t>Pro r ugl M</t>
  </si>
  <si>
    <t>Teilzahlung pro rata gleicher Monat</t>
  </si>
  <si>
    <t>Teilzahlung pro rata über Monatsende</t>
  </si>
  <si>
    <t>&lt;BN41</t>
  </si>
  <si>
    <t>Einnahmen abgetreten</t>
  </si>
  <si>
    <t>Zum Einkommen aufzurechnende Beträge</t>
  </si>
  <si>
    <t>GBoH</t>
  </si>
  <si>
    <t>1. Buchstabe der Gemeinde bei gleicher PLZ</t>
  </si>
  <si>
    <t>Gültig ab: *</t>
  </si>
  <si>
    <t>Erstellt am:*</t>
  </si>
  <si>
    <t>Maximale Differenz</t>
  </si>
  <si>
    <t>Tage</t>
  </si>
  <si>
    <t xml:space="preserve"> </t>
  </si>
  <si>
    <t>18ldw27bth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</si>
</sst>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dd/mm/yyyy;@"/>
    <numFmt numFmtId="166" formatCode="#,##0.0"/>
    <numFmt numFmtId="167" formatCode="d/mm/yyyy"/>
  </numFmts>
  <fonts count="37" x14ac:knownFonts="1">
    <font>
      <sz val="11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8.5"/>
      <color theme="0"/>
      <name val="Arial"/>
      <family val="2"/>
    </font>
    <font>
      <b/>
      <sz val="8"/>
      <color rgb="FF00B0F0"/>
      <name val="Arial"/>
      <family val="2"/>
    </font>
    <font>
      <b/>
      <sz val="8"/>
      <color rgb="FF00B050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9"/>
      <color rgb="FF00B050"/>
      <name val="Arial"/>
      <family val="2"/>
    </font>
    <font>
      <sz val="11"/>
      <color rgb="FF00B050"/>
      <name val="Arial"/>
      <family val="2"/>
    </font>
    <font>
      <b/>
      <sz val="11"/>
      <color theme="1"/>
      <name val="Arial"/>
      <family val="2"/>
    </font>
    <font>
      <sz val="8.75"/>
      <color theme="1"/>
      <name val="Arial"/>
      <family val="2"/>
    </font>
    <font>
      <sz val="10"/>
      <color theme="0"/>
      <name val="Arial"/>
      <family val="2"/>
    </font>
    <font>
      <b/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</borders>
  <cellStyleXfs count="4">
    <xf numFmtId="0" fontId="0" fillId="0" borderId="0"/>
    <xf numFmtId="0" fontId="9" fillId="0" borderId="0"/>
    <xf numFmtId="0" fontId="14" fillId="0" borderId="0"/>
    <xf numFmtId="0" fontId="13" fillId="0" borderId="0"/>
  </cellStyleXfs>
  <cellXfs count="355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1" xfId="0" applyNumberFormat="1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4" fontId="1" fillId="2" borderId="1" xfId="0" applyNumberFormat="1" applyFont="1" applyFill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Fill="1" applyBorder="1"/>
    <xf numFmtId="0" fontId="4" fillId="0" borderId="0" xfId="0" applyFont="1"/>
    <xf numFmtId="0" fontId="1" fillId="0" borderId="0" xfId="0" quotePrefix="1" applyFont="1"/>
    <xf numFmtId="1" fontId="1" fillId="0" borderId="0" xfId="0" applyNumberFormat="1" applyFont="1" applyFill="1" applyBorder="1"/>
    <xf numFmtId="1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0" fontId="0" fillId="0" borderId="0" xfId="0" applyBorder="1"/>
    <xf numFmtId="0" fontId="0" fillId="0" borderId="8" xfId="0" applyBorder="1"/>
    <xf numFmtId="0" fontId="6" fillId="0" borderId="0" xfId="0" applyFont="1"/>
    <xf numFmtId="0" fontId="0" fillId="0" borderId="4" xfId="0" applyBorder="1"/>
    <xf numFmtId="4" fontId="1" fillId="0" borderId="6" xfId="0" applyNumberFormat="1" applyFont="1" applyBorder="1"/>
    <xf numFmtId="0" fontId="1" fillId="0" borderId="7" xfId="0" applyFont="1" applyBorder="1"/>
    <xf numFmtId="0" fontId="5" fillId="0" borderId="8" xfId="0" applyFont="1" applyBorder="1"/>
    <xf numFmtId="4" fontId="1" fillId="0" borderId="10" xfId="0" applyNumberFormat="1" applyFont="1" applyBorder="1"/>
    <xf numFmtId="0" fontId="1" fillId="0" borderId="0" xfId="0" applyFont="1" applyFill="1" applyBorder="1"/>
    <xf numFmtId="0" fontId="7" fillId="0" borderId="0" xfId="0" applyFont="1"/>
    <xf numFmtId="4" fontId="6" fillId="0" borderId="1" xfId="0" applyNumberFormat="1" applyFont="1" applyBorder="1"/>
    <xf numFmtId="4" fontId="7" fillId="0" borderId="1" xfId="0" applyNumberFormat="1" applyFont="1" applyBorder="1"/>
    <xf numFmtId="4" fontId="4" fillId="0" borderId="0" xfId="0" applyNumberFormat="1" applyFont="1"/>
    <xf numFmtId="4" fontId="6" fillId="0" borderId="8" xfId="0" applyNumberFormat="1" applyFont="1" applyBorder="1"/>
    <xf numFmtId="0" fontId="0" fillId="0" borderId="1" xfId="0" applyBorder="1"/>
    <xf numFmtId="4" fontId="5" fillId="0" borderId="0" xfId="0" applyNumberFormat="1" applyFont="1"/>
    <xf numFmtId="0" fontId="8" fillId="0" borderId="0" xfId="0" applyFont="1"/>
    <xf numFmtId="0" fontId="10" fillId="0" borderId="0" xfId="1" applyFont="1"/>
    <xf numFmtId="0" fontId="11" fillId="0" borderId="0" xfId="1" applyFont="1"/>
    <xf numFmtId="0" fontId="11" fillId="0" borderId="14" xfId="1" applyFont="1" applyBorder="1"/>
    <xf numFmtId="0" fontId="11" fillId="0" borderId="17" xfId="1" applyFont="1" applyBorder="1"/>
    <xf numFmtId="0" fontId="11" fillId="0" borderId="5" xfId="1" applyFont="1" applyBorder="1"/>
    <xf numFmtId="0" fontId="10" fillId="0" borderId="1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1" fillId="0" borderId="15" xfId="1" applyFont="1" applyBorder="1"/>
    <xf numFmtId="0" fontId="11" fillId="0" borderId="7" xfId="1" applyFont="1" applyBorder="1"/>
    <xf numFmtId="0" fontId="11" fillId="0" borderId="4" xfId="1" applyFont="1" applyBorder="1"/>
    <xf numFmtId="0" fontId="15" fillId="0" borderId="1" xfId="3" applyFont="1" applyFill="1" applyBorder="1" applyAlignment="1"/>
    <xf numFmtId="0" fontId="10" fillId="0" borderId="1" xfId="2" applyFont="1" applyBorder="1" applyAlignment="1">
      <alignment horizontal="center"/>
    </xf>
    <xf numFmtId="2" fontId="10" fillId="0" borderId="1" xfId="1" applyNumberFormat="1" applyFont="1" applyBorder="1"/>
    <xf numFmtId="0" fontId="1" fillId="0" borderId="8" xfId="0" applyFont="1" applyBorder="1"/>
    <xf numFmtId="2" fontId="7" fillId="0" borderId="8" xfId="0" applyNumberFormat="1" applyFont="1" applyBorder="1"/>
    <xf numFmtId="0" fontId="1" fillId="0" borderId="0" xfId="0" applyFont="1" applyAlignment="1">
      <alignment horizontal="right"/>
    </xf>
    <xf numFmtId="4" fontId="10" fillId="5" borderId="1" xfId="1" applyNumberFormat="1" applyFont="1" applyFill="1" applyBorder="1" applyProtection="1"/>
    <xf numFmtId="4" fontId="12" fillId="5" borderId="1" xfId="1" applyNumberFormat="1" applyFont="1" applyFill="1" applyBorder="1" applyProtection="1"/>
    <xf numFmtId="0" fontId="10" fillId="5" borderId="15" xfId="1" applyFont="1" applyFill="1" applyBorder="1" applyProtection="1"/>
    <xf numFmtId="4" fontId="10" fillId="5" borderId="1" xfId="1" applyNumberFormat="1" applyFont="1" applyFill="1" applyBorder="1"/>
    <xf numFmtId="4" fontId="12" fillId="5" borderId="1" xfId="1" applyNumberFormat="1" applyFont="1" applyFill="1" applyBorder="1"/>
    <xf numFmtId="4" fontId="12" fillId="5" borderId="1" xfId="1" applyNumberFormat="1" applyFont="1" applyFill="1" applyBorder="1" applyProtection="1"/>
    <xf numFmtId="0" fontId="10" fillId="0" borderId="0" xfId="1" applyFont="1" applyProtection="1"/>
    <xf numFmtId="0" fontId="10" fillId="0" borderId="1" xfId="1" applyFont="1" applyBorder="1" applyProtection="1"/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4" fontId="4" fillId="0" borderId="1" xfId="0" applyNumberFormat="1" applyFont="1" applyBorder="1"/>
    <xf numFmtId="4" fontId="1" fillId="0" borderId="0" xfId="0" applyNumberFormat="1" applyFont="1" applyBorder="1"/>
    <xf numFmtId="0" fontId="5" fillId="0" borderId="0" xfId="0" applyFont="1"/>
    <xf numFmtId="4" fontId="8" fillId="0" borderId="0" xfId="0" applyNumberFormat="1" applyFont="1"/>
    <xf numFmtId="1" fontId="1" fillId="0" borderId="0" xfId="0" applyNumberFormat="1" applyFont="1" applyBorder="1"/>
    <xf numFmtId="0" fontId="9" fillId="0" borderId="0" xfId="1"/>
    <xf numFmtId="0" fontId="10" fillId="0" borderId="0" xfId="1" applyFont="1"/>
    <xf numFmtId="0" fontId="10" fillId="0" borderId="0" xfId="1" quotePrefix="1" applyFont="1"/>
    <xf numFmtId="4" fontId="8" fillId="0" borderId="1" xfId="0" applyNumberFormat="1" applyFont="1" applyBorder="1"/>
    <xf numFmtId="4" fontId="5" fillId="0" borderId="1" xfId="0" applyNumberFormat="1" applyFont="1" applyBorder="1"/>
    <xf numFmtId="4" fontId="5" fillId="0" borderId="6" xfId="0" applyNumberFormat="1" applyFont="1" applyBorder="1"/>
    <xf numFmtId="0" fontId="1" fillId="0" borderId="18" xfId="0" applyFont="1" applyBorder="1"/>
    <xf numFmtId="0" fontId="1" fillId="0" borderId="16" xfId="0" applyFont="1" applyBorder="1"/>
    <xf numFmtId="0" fontId="1" fillId="0" borderId="19" xfId="0" applyFont="1" applyBorder="1"/>
    <xf numFmtId="0" fontId="0" fillId="0" borderId="6" xfId="0" applyBorder="1"/>
    <xf numFmtId="0" fontId="0" fillId="0" borderId="5" xfId="0" applyBorder="1"/>
    <xf numFmtId="4" fontId="1" fillId="0" borderId="7" xfId="0" applyNumberFormat="1" applyFont="1" applyBorder="1"/>
    <xf numFmtId="4" fontId="4" fillId="0" borderId="8" xfId="0" applyNumberFormat="1" applyFont="1" applyBorder="1"/>
    <xf numFmtId="4" fontId="4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6" fillId="0" borderId="0" xfId="0" applyNumberFormat="1" applyFont="1"/>
    <xf numFmtId="4" fontId="6" fillId="0" borderId="0" xfId="0" applyNumberFormat="1" applyFont="1"/>
    <xf numFmtId="0" fontId="16" fillId="0" borderId="0" xfId="0" applyFont="1"/>
    <xf numFmtId="4" fontId="6" fillId="0" borderId="1" xfId="0" applyNumberFormat="1" applyFont="1" applyFill="1" applyBorder="1"/>
    <xf numFmtId="0" fontId="6" fillId="0" borderId="0" xfId="0" applyFont="1" applyAlignment="1">
      <alignment horizontal="center" textRotation="90"/>
    </xf>
    <xf numFmtId="0" fontId="6" fillId="0" borderId="6" xfId="0" applyFont="1" applyBorder="1"/>
    <xf numFmtId="4" fontId="4" fillId="0" borderId="1" xfId="0" applyNumberFormat="1" applyFont="1" applyFill="1" applyBorder="1"/>
    <xf numFmtId="0" fontId="6" fillId="0" borderId="20" xfId="0" applyFont="1" applyBorder="1"/>
    <xf numFmtId="0" fontId="1" fillId="0" borderId="20" xfId="0" applyFont="1" applyBorder="1"/>
    <xf numFmtId="4" fontId="1" fillId="0" borderId="20" xfId="0" applyNumberFormat="1" applyFont="1" applyBorder="1"/>
    <xf numFmtId="3" fontId="1" fillId="0" borderId="0" xfId="0" applyNumberFormat="1" applyFont="1" applyBorder="1"/>
    <xf numFmtId="4" fontId="6" fillId="0" borderId="14" xfId="0" applyNumberFormat="1" applyFont="1" applyFill="1" applyBorder="1"/>
    <xf numFmtId="0" fontId="6" fillId="0" borderId="1" xfId="0" applyFont="1" applyBorder="1"/>
    <xf numFmtId="0" fontId="0" fillId="0" borderId="0" xfId="0" applyProtection="1"/>
    <xf numFmtId="0" fontId="18" fillId="0" borderId="0" xfId="0" applyFont="1" applyFill="1" applyProtection="1"/>
    <xf numFmtId="0" fontId="19" fillId="0" borderId="0" xfId="0" applyFont="1" applyFill="1" applyProtection="1"/>
    <xf numFmtId="0" fontId="18" fillId="0" borderId="1" xfId="0" applyFont="1" applyBorder="1" applyProtection="1"/>
    <xf numFmtId="0" fontId="19" fillId="0" borderId="1" xfId="3" applyFont="1" applyFill="1" applyBorder="1" applyAlignment="1" applyProtection="1"/>
    <xf numFmtId="0" fontId="18" fillId="0" borderId="17" xfId="0" applyFont="1" applyFill="1" applyBorder="1" applyProtection="1"/>
    <xf numFmtId="0" fontId="20" fillId="0" borderId="17" xfId="3" applyFont="1" applyFill="1" applyBorder="1" applyAlignment="1" applyProtection="1"/>
    <xf numFmtId="0" fontId="15" fillId="0" borderId="1" xfId="3" applyFont="1" applyFill="1" applyBorder="1" applyAlignment="1" applyProtection="1"/>
    <xf numFmtId="0" fontId="10" fillId="0" borderId="1" xfId="0" applyFont="1" applyBorder="1" applyProtection="1"/>
    <xf numFmtId="0" fontId="22" fillId="0" borderId="1" xfId="3" applyFont="1" applyFill="1" applyBorder="1" applyAlignment="1" applyProtection="1"/>
    <xf numFmtId="0" fontId="22" fillId="0" borderId="1" xfId="0" applyFont="1" applyBorder="1" applyProtection="1"/>
    <xf numFmtId="0" fontId="3" fillId="0" borderId="0" xfId="0" applyFont="1"/>
    <xf numFmtId="0" fontId="2" fillId="0" borderId="0" xfId="0" applyFont="1"/>
    <xf numFmtId="4" fontId="2" fillId="0" borderId="0" xfId="0" applyNumberFormat="1" applyFont="1"/>
    <xf numFmtId="165" fontId="1" fillId="0" borderId="0" xfId="0" applyNumberFormat="1" applyFont="1"/>
    <xf numFmtId="0" fontId="2" fillId="0" borderId="0" xfId="0" applyFont="1" applyBorder="1"/>
    <xf numFmtId="0" fontId="6" fillId="2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4" fontId="6" fillId="4" borderId="1" xfId="0" applyNumberFormat="1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Protection="1">
      <protection locked="0"/>
    </xf>
    <xf numFmtId="0" fontId="24" fillId="0" borderId="21" xfId="0" applyFont="1" applyFill="1" applyBorder="1" applyProtection="1"/>
    <xf numFmtId="0" fontId="6" fillId="0" borderId="23" xfId="0" applyFont="1" applyBorder="1"/>
    <xf numFmtId="0" fontId="7" fillId="4" borderId="1" xfId="0" applyFont="1" applyFill="1" applyBorder="1" applyAlignment="1" applyProtection="1">
      <alignment horizontal="center"/>
      <protection locked="0"/>
    </xf>
    <xf numFmtId="0" fontId="21" fillId="0" borderId="0" xfId="1" applyFont="1" applyBorder="1" applyProtection="1"/>
    <xf numFmtId="0" fontId="11" fillId="0" borderId="0" xfId="1" applyFont="1" applyProtection="1"/>
    <xf numFmtId="0" fontId="10" fillId="0" borderId="0" xfId="1" applyFont="1" applyProtection="1"/>
    <xf numFmtId="0" fontId="2" fillId="0" borderId="20" xfId="0" applyFont="1" applyBorder="1"/>
    <xf numFmtId="0" fontId="10" fillId="0" borderId="0" xfId="1" applyFont="1" applyProtection="1"/>
    <xf numFmtId="0" fontId="9" fillId="0" borderId="0" xfId="1"/>
    <xf numFmtId="0" fontId="10" fillId="0" borderId="0" xfId="1" applyFont="1" applyFill="1" applyBorder="1" applyProtection="1"/>
    <xf numFmtId="0" fontId="10" fillId="0" borderId="0" xfId="1" applyFont="1" applyProtection="1"/>
    <xf numFmtId="0" fontId="9" fillId="0" borderId="0" xfId="1" applyBorder="1"/>
    <xf numFmtId="0" fontId="10" fillId="0" borderId="0" xfId="1" applyFont="1" applyBorder="1" applyProtection="1"/>
    <xf numFmtId="0" fontId="10" fillId="0" borderId="0" xfId="1" applyFont="1" applyFill="1" applyProtection="1"/>
    <xf numFmtId="0" fontId="10" fillId="0" borderId="24" xfId="1" applyFont="1" applyBorder="1" applyProtection="1"/>
    <xf numFmtId="4" fontId="25" fillId="0" borderId="0" xfId="0" applyNumberFormat="1" applyFont="1"/>
    <xf numFmtId="0" fontId="12" fillId="0" borderId="20" xfId="1" applyFont="1" applyBorder="1" applyProtection="1"/>
    <xf numFmtId="0" fontId="4" fillId="0" borderId="0" xfId="0" applyFont="1" applyBorder="1"/>
    <xf numFmtId="2" fontId="1" fillId="0" borderId="0" xfId="0" applyNumberFormat="1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7" fillId="0" borderId="0" xfId="0" applyFont="1"/>
    <xf numFmtId="0" fontId="26" fillId="0" borderId="7" xfId="0" applyFont="1" applyBorder="1"/>
    <xf numFmtId="0" fontId="27" fillId="0" borderId="8" xfId="0" applyFont="1" applyBorder="1"/>
    <xf numFmtId="0" fontId="27" fillId="0" borderId="10" xfId="0" applyFont="1" applyBorder="1"/>
    <xf numFmtId="0" fontId="1" fillId="0" borderId="11" xfId="0" applyFont="1" applyBorder="1"/>
    <xf numFmtId="0" fontId="0" fillId="0" borderId="12" xfId="0" applyBorder="1"/>
    <xf numFmtId="0" fontId="0" fillId="0" borderId="13" xfId="0" applyBorder="1"/>
    <xf numFmtId="4" fontId="1" fillId="0" borderId="5" xfId="0" applyNumberFormat="1" applyFont="1" applyBorder="1"/>
    <xf numFmtId="1" fontId="1" fillId="0" borderId="5" xfId="0" applyNumberFormat="1" applyFont="1" applyBorder="1"/>
    <xf numFmtId="1" fontId="1" fillId="0" borderId="6" xfId="0" applyNumberFormat="1" applyFont="1" applyBorder="1"/>
    <xf numFmtId="0" fontId="1" fillId="0" borderId="10" xfId="0" applyFont="1" applyBorder="1"/>
    <xf numFmtId="4" fontId="5" fillId="0" borderId="0" xfId="0" applyNumberFormat="1" applyFont="1" applyBorder="1"/>
    <xf numFmtId="3" fontId="5" fillId="0" borderId="0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0" fillId="0" borderId="0" xfId="0" applyNumberFormat="1"/>
    <xf numFmtId="166" fontId="1" fillId="0" borderId="0" xfId="0" applyNumberFormat="1" applyFont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4" xfId="0" applyFont="1" applyBorder="1"/>
    <xf numFmtId="0" fontId="0" fillId="0" borderId="17" xfId="0" applyBorder="1"/>
    <xf numFmtId="4" fontId="7" fillId="0" borderId="17" xfId="0" applyNumberFormat="1" applyFont="1" applyBorder="1"/>
    <xf numFmtId="0" fontId="6" fillId="0" borderId="17" xfId="0" applyFont="1" applyBorder="1"/>
    <xf numFmtId="4" fontId="7" fillId="0" borderId="15" xfId="0" applyNumberFormat="1" applyFont="1" applyBorder="1"/>
    <xf numFmtId="0" fontId="6" fillId="0" borderId="16" xfId="0" applyFont="1" applyBorder="1"/>
    <xf numFmtId="4" fontId="6" fillId="0" borderId="16" xfId="0" applyNumberFormat="1" applyFont="1" applyBorder="1"/>
    <xf numFmtId="0" fontId="0" fillId="0" borderId="16" xfId="0" applyBorder="1"/>
    <xf numFmtId="4" fontId="7" fillId="0" borderId="16" xfId="0" applyNumberFormat="1" applyFont="1" applyBorder="1"/>
    <xf numFmtId="4" fontId="6" fillId="0" borderId="23" xfId="0" applyNumberFormat="1" applyFont="1" applyBorder="1"/>
    <xf numFmtId="0" fontId="0" fillId="0" borderId="23" xfId="0" applyBorder="1"/>
    <xf numFmtId="0" fontId="0" fillId="0" borderId="15" xfId="0" applyBorder="1"/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6" fillId="0" borderId="7" xfId="0" applyNumberFormat="1" applyFont="1" applyBorder="1"/>
    <xf numFmtId="4" fontId="6" fillId="0" borderId="10" xfId="0" applyNumberFormat="1" applyFont="1" applyBorder="1"/>
    <xf numFmtId="4" fontId="6" fillId="0" borderId="15" xfId="0" applyNumberFormat="1" applyFont="1" applyBorder="1"/>
    <xf numFmtId="4" fontId="1" fillId="0" borderId="14" xfId="0" applyNumberFormat="1" applyFont="1" applyFill="1" applyBorder="1"/>
    <xf numFmtId="4" fontId="6" fillId="0" borderId="15" xfId="0" applyNumberFormat="1" applyFont="1" applyFill="1" applyBorder="1"/>
    <xf numFmtId="0" fontId="6" fillId="0" borderId="8" xfId="0" applyFont="1" applyBorder="1"/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2" borderId="15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6" fillId="2" borderId="14" xfId="0" applyNumberFormat="1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2" fontId="6" fillId="2" borderId="15" xfId="0" applyNumberFormat="1" applyFont="1" applyFill="1" applyBorder="1" applyProtection="1">
      <protection locked="0"/>
    </xf>
    <xf numFmtId="2" fontId="6" fillId="6" borderId="15" xfId="0" applyNumberFormat="1" applyFont="1" applyFill="1" applyBorder="1" applyAlignment="1" applyProtection="1">
      <alignment horizontal="center"/>
      <protection locked="0"/>
    </xf>
    <xf numFmtId="2" fontId="6" fillId="6" borderId="15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2" fontId="6" fillId="6" borderId="1" xfId="0" applyNumberFormat="1" applyFont="1" applyFill="1" applyBorder="1" applyAlignment="1" applyProtection="1">
      <alignment horizontal="center"/>
      <protection locked="0"/>
    </xf>
    <xf numFmtId="2" fontId="6" fillId="6" borderId="1" xfId="0" applyNumberFormat="1" applyFont="1" applyFill="1" applyBorder="1" applyProtection="1"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Protection="1">
      <protection locked="0"/>
    </xf>
    <xf numFmtId="4" fontId="1" fillId="7" borderId="1" xfId="0" applyNumberFormat="1" applyFont="1" applyFill="1" applyBorder="1"/>
    <xf numFmtId="0" fontId="1" fillId="0" borderId="14" xfId="0" applyFont="1" applyBorder="1"/>
    <xf numFmtId="0" fontId="1" fillId="0" borderId="15" xfId="0" applyFont="1" applyBorder="1"/>
    <xf numFmtId="0" fontId="6" fillId="0" borderId="0" xfId="0" applyFont="1" applyProtection="1"/>
    <xf numFmtId="0" fontId="1" fillId="0" borderId="0" xfId="0" applyFont="1" applyProtection="1"/>
    <xf numFmtId="0" fontId="23" fillId="0" borderId="0" xfId="0" applyFont="1" applyProtection="1"/>
    <xf numFmtId="0" fontId="6" fillId="0" borderId="0" xfId="0" applyFont="1" applyFill="1" applyBorder="1" applyProtection="1"/>
    <xf numFmtId="0" fontId="6" fillId="0" borderId="22" xfId="0" applyFont="1" applyBorder="1" applyProtection="1"/>
    <xf numFmtId="0" fontId="6" fillId="0" borderId="23" xfId="0" applyFont="1" applyBorder="1" applyProtection="1"/>
    <xf numFmtId="0" fontId="10" fillId="0" borderId="0" xfId="0" applyFont="1" applyProtection="1"/>
    <xf numFmtId="0" fontId="17" fillId="0" borderId="0" xfId="0" applyFont="1" applyProtection="1"/>
    <xf numFmtId="0" fontId="1" fillId="0" borderId="2" xfId="0" applyFont="1" applyBorder="1" applyProtection="1"/>
    <xf numFmtId="0" fontId="1" fillId="0" borderId="3" xfId="0" applyFont="1" applyBorder="1" applyProtection="1"/>
    <xf numFmtId="164" fontId="1" fillId="0" borderId="3" xfId="0" applyNumberFormat="1" applyFont="1" applyBorder="1" applyProtection="1"/>
    <xf numFmtId="0" fontId="0" fillId="0" borderId="3" xfId="0" applyBorder="1" applyProtection="1"/>
    <xf numFmtId="14" fontId="1" fillId="0" borderId="0" xfId="0" applyNumberFormat="1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Border="1" applyProtection="1"/>
    <xf numFmtId="0" fontId="0" fillId="0" borderId="0" xfId="0" applyBorder="1" applyProtection="1"/>
    <xf numFmtId="0" fontId="1" fillId="0" borderId="0" xfId="0" applyFont="1" applyAlignment="1" applyProtection="1">
      <alignment horizontal="center"/>
    </xf>
    <xf numFmtId="0" fontId="1" fillId="0" borderId="0" xfId="0" quotePrefix="1" applyFont="1" applyBorder="1" applyProtection="1"/>
    <xf numFmtId="0" fontId="1" fillId="0" borderId="0" xfId="0" applyFont="1" applyFill="1" applyBorder="1" applyProtection="1"/>
    <xf numFmtId="0" fontId="5" fillId="0" borderId="0" xfId="0" applyFont="1" applyProtection="1"/>
    <xf numFmtId="0" fontId="6" fillId="0" borderId="1" xfId="0" applyFont="1" applyFill="1" applyBorder="1" applyAlignment="1" applyProtection="1">
      <alignment horizontal="center"/>
    </xf>
    <xf numFmtId="164" fontId="1" fillId="0" borderId="0" xfId="0" applyNumberFormat="1" applyFont="1" applyProtection="1"/>
    <xf numFmtId="0" fontId="5" fillId="0" borderId="5" xfId="0" applyFont="1" applyBorder="1" applyProtection="1"/>
    <xf numFmtId="0" fontId="5" fillId="0" borderId="14" xfId="0" applyFont="1" applyBorder="1" applyProtection="1"/>
    <xf numFmtId="0" fontId="5" fillId="0" borderId="2" xfId="0" applyFont="1" applyBorder="1" applyProtection="1"/>
    <xf numFmtId="0" fontId="6" fillId="0" borderId="0" xfId="0" applyFont="1" applyFill="1" applyProtection="1"/>
    <xf numFmtId="0" fontId="6" fillId="0" borderId="8" xfId="0" applyFont="1" applyFill="1" applyBorder="1" applyProtection="1"/>
    <xf numFmtId="0" fontId="6" fillId="0" borderId="5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5" fillId="0" borderId="15" xfId="0" applyFont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6" fillId="2" borderId="12" xfId="0" applyFont="1" applyFill="1" applyBorder="1" applyProtection="1"/>
    <xf numFmtId="0" fontId="6" fillId="2" borderId="13" xfId="0" applyFont="1" applyFill="1" applyBorder="1" applyProtection="1"/>
    <xf numFmtId="0" fontId="4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4" fontId="4" fillId="0" borderId="0" xfId="0" applyNumberFormat="1" applyFont="1" applyFill="1" applyBorder="1" applyProtection="1"/>
    <xf numFmtId="0" fontId="6" fillId="4" borderId="13" xfId="0" applyFont="1" applyFill="1" applyBorder="1" applyProtection="1"/>
    <xf numFmtId="0" fontId="4" fillId="0" borderId="0" xfId="0" applyFont="1" applyFill="1" applyProtection="1"/>
    <xf numFmtId="4" fontId="1" fillId="0" borderId="0" xfId="0" applyNumberFormat="1" applyFont="1" applyProtection="1"/>
    <xf numFmtId="0" fontId="18" fillId="0" borderId="0" xfId="0" applyFont="1" applyProtection="1"/>
    <xf numFmtId="164" fontId="6" fillId="4" borderId="1" xfId="0" applyNumberFormat="1" applyFont="1" applyFill="1" applyBorder="1" applyProtection="1">
      <protection locked="0"/>
    </xf>
    <xf numFmtId="3" fontId="6" fillId="2" borderId="1" xfId="0" applyNumberFormat="1" applyFont="1" applyFill="1" applyBorder="1" applyProtection="1">
      <protection locked="0"/>
    </xf>
    <xf numFmtId="4" fontId="7" fillId="0" borderId="0" xfId="0" applyNumberFormat="1" applyFont="1"/>
    <xf numFmtId="4" fontId="6" fillId="0" borderId="14" xfId="0" applyNumberFormat="1" applyFont="1" applyBorder="1"/>
    <xf numFmtId="4" fontId="6" fillId="0" borderId="4" xfId="0" applyNumberFormat="1" applyFont="1" applyBorder="1"/>
    <xf numFmtId="0" fontId="6" fillId="2" borderId="1" xfId="0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6" fillId="0" borderId="0" xfId="0" applyFont="1"/>
    <xf numFmtId="0" fontId="7" fillId="0" borderId="0" xfId="0" applyFont="1"/>
    <xf numFmtId="4" fontId="6" fillId="0" borderId="1" xfId="0" applyNumberFormat="1" applyFont="1" applyBorder="1"/>
    <xf numFmtId="0" fontId="6" fillId="0" borderId="1" xfId="0" applyFont="1" applyBorder="1"/>
    <xf numFmtId="4" fontId="6" fillId="4" borderId="1" xfId="0" applyNumberFormat="1" applyFont="1" applyFill="1" applyBorder="1" applyProtection="1">
      <protection locked="0"/>
    </xf>
    <xf numFmtId="4" fontId="6" fillId="0" borderId="6" xfId="0" applyNumberFormat="1" applyFont="1" applyBorder="1"/>
    <xf numFmtId="4" fontId="6" fillId="0" borderId="17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3" fontId="28" fillId="0" borderId="0" xfId="0" applyNumberFormat="1" applyFont="1"/>
    <xf numFmtId="0" fontId="4" fillId="2" borderId="1" xfId="0" applyFont="1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Protection="1">
      <protection locked="0"/>
    </xf>
    <xf numFmtId="0" fontId="29" fillId="0" borderId="0" xfId="0" applyFont="1" applyProtection="1"/>
    <xf numFmtId="0" fontId="6" fillId="0" borderId="1" xfId="0" applyFont="1" applyBorder="1" applyProtection="1"/>
    <xf numFmtId="0" fontId="5" fillId="0" borderId="17" xfId="0" applyFont="1" applyBorder="1" applyProtection="1"/>
    <xf numFmtId="0" fontId="5" fillId="0" borderId="0" xfId="0" applyFont="1" applyBorder="1" applyProtection="1"/>
    <xf numFmtId="0" fontId="0" fillId="0" borderId="20" xfId="0" applyBorder="1"/>
    <xf numFmtId="0" fontId="6" fillId="0" borderId="0" xfId="0" applyFont="1" applyAlignment="1" applyProtection="1">
      <alignment horizontal="center"/>
    </xf>
    <xf numFmtId="0" fontId="27" fillId="0" borderId="0" xfId="0" applyFont="1" applyProtection="1"/>
    <xf numFmtId="0" fontId="5" fillId="0" borderId="0" xfId="0" applyFont="1" applyAlignment="1">
      <alignment vertical="top" wrapText="1"/>
    </xf>
    <xf numFmtId="0" fontId="30" fillId="0" borderId="0" xfId="0" applyFont="1" applyProtection="1"/>
    <xf numFmtId="0" fontId="31" fillId="0" borderId="0" xfId="0" applyFont="1"/>
    <xf numFmtId="0" fontId="32" fillId="0" borderId="0" xfId="0" applyFont="1"/>
    <xf numFmtId="4" fontId="0" fillId="0" borderId="1" xfId="0" applyNumberFormat="1" applyBorder="1"/>
    <xf numFmtId="0" fontId="0" fillId="0" borderId="28" xfId="0" applyBorder="1"/>
    <xf numFmtId="0" fontId="6" fillId="2" borderId="12" xfId="0" applyFont="1" applyFill="1" applyBorder="1"/>
    <xf numFmtId="0" fontId="6" fillId="2" borderId="13" xfId="0" applyFont="1" applyFill="1" applyBorder="1"/>
    <xf numFmtId="0" fontId="7" fillId="0" borderId="24" xfId="0" applyFont="1" applyBorder="1"/>
    <xf numFmtId="0" fontId="33" fillId="0" borderId="24" xfId="0" applyFont="1" applyBorder="1"/>
    <xf numFmtId="0" fontId="6" fillId="0" borderId="0" xfId="0" applyFont="1" applyAlignment="1">
      <alignment horizontal="left"/>
    </xf>
    <xf numFmtId="0" fontId="6" fillId="0" borderId="0" xfId="0" applyFont="1" applyFill="1" applyBorder="1"/>
    <xf numFmtId="0" fontId="1" fillId="0" borderId="13" xfId="0" applyFont="1" applyBorder="1"/>
    <xf numFmtId="0" fontId="1" fillId="0" borderId="29" xfId="0" applyFont="1" applyBorder="1"/>
    <xf numFmtId="4" fontId="1" fillId="0" borderId="29" xfId="0" applyNumberFormat="1" applyFont="1" applyBorder="1"/>
    <xf numFmtId="4" fontId="1" fillId="0" borderId="13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7" fillId="0" borderId="20" xfId="0" applyFont="1" applyBorder="1"/>
    <xf numFmtId="4" fontId="1" fillId="0" borderId="15" xfId="0" applyNumberFormat="1" applyFont="1" applyBorder="1"/>
    <xf numFmtId="4" fontId="7" fillId="0" borderId="14" xfId="0" applyNumberFormat="1" applyFont="1" applyBorder="1"/>
    <xf numFmtId="4" fontId="7" fillId="0" borderId="0" xfId="0" applyNumberFormat="1" applyFont="1" applyBorder="1"/>
    <xf numFmtId="0" fontId="6" fillId="0" borderId="0" xfId="0" applyFont="1" applyAlignment="1">
      <alignment horizontal="center"/>
    </xf>
    <xf numFmtId="0" fontId="6" fillId="0" borderId="10" xfId="0" applyFont="1" applyBorder="1"/>
    <xf numFmtId="14" fontId="6" fillId="0" borderId="0" xfId="0" applyNumberFormat="1" applyFont="1" applyAlignment="1"/>
    <xf numFmtId="0" fontId="6" fillId="0" borderId="3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4" fontId="4" fillId="0" borderId="3" xfId="0" applyNumberFormat="1" applyFont="1" applyFill="1" applyBorder="1" applyProtection="1"/>
    <xf numFmtId="0" fontId="17" fillId="0" borderId="0" xfId="0" applyFont="1"/>
    <xf numFmtId="0" fontId="34" fillId="0" borderId="0" xfId="0" applyFont="1"/>
    <xf numFmtId="4" fontId="35" fillId="0" borderId="0" xfId="0" applyNumberFormat="1" applyFont="1"/>
    <xf numFmtId="167" fontId="7" fillId="0" borderId="0" xfId="0" applyNumberFormat="1" applyFont="1"/>
    <xf numFmtId="0" fontId="6" fillId="2" borderId="1" xfId="0" applyFont="1" applyFill="1" applyBorder="1" applyProtection="1">
      <protection locked="0"/>
    </xf>
    <xf numFmtId="14" fontId="1" fillId="0" borderId="0" xfId="0" applyNumberFormat="1" applyFont="1"/>
    <xf numFmtId="0" fontId="1" fillId="0" borderId="12" xfId="0" applyFont="1" applyBorder="1"/>
    <xf numFmtId="0" fontId="1" fillId="0" borderId="31" xfId="0" applyFont="1" applyBorder="1"/>
    <xf numFmtId="2" fontId="0" fillId="0" borderId="0" xfId="0" applyNumberFormat="1"/>
    <xf numFmtId="4" fontId="1" fillId="0" borderId="0" xfId="0" applyNumberFormat="1" applyFont="1"/>
    <xf numFmtId="3" fontId="6" fillId="0" borderId="0" xfId="0" applyNumberFormat="1" applyFont="1" applyFill="1" applyBorder="1" applyProtection="1"/>
    <xf numFmtId="164" fontId="1" fillId="6" borderId="1" xfId="0" applyNumberFormat="1" applyFont="1" applyFill="1" applyBorder="1"/>
    <xf numFmtId="0" fontId="36" fillId="0" borderId="0" xfId="0" applyFont="1" applyAlignment="1" applyProtection="1">
      <alignment horizontal="center" textRotation="90"/>
    </xf>
    <xf numFmtId="0" fontId="36" fillId="0" borderId="8" xfId="0" applyFont="1" applyBorder="1" applyAlignment="1" applyProtection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4">
    <cellStyle name="Normal_A_POP_120907" xfId="2"/>
    <cellStyle name="Standard" xfId="0" builtinId="0"/>
    <cellStyle name="Standard 2" xfId="1"/>
    <cellStyle name="Standard_Gemeindeliste-Liste d. communes" xfId="3"/>
  </cellStyles>
  <dxfs count="2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6" tint="-0.499984740745262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B050"/>
      </font>
    </dxf>
    <dxf>
      <font>
        <b/>
        <i val="0"/>
        <color rgb="FFFF0000"/>
      </font>
    </dxf>
    <dxf>
      <font>
        <color theme="0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W93"/>
  <sheetViews>
    <sheetView showGridLines="0" tabSelected="1" workbookViewId="0">
      <selection activeCell="E3" sqref="E3"/>
    </sheetView>
  </sheetViews>
  <sheetFormatPr baseColWidth="10" defaultColWidth="11" defaultRowHeight="13.8" x14ac:dyDescent="0.25"/>
  <cols>
    <col min="1" max="1" width="0.69921875" style="108" customWidth="1"/>
    <col min="2" max="2" width="20.19921875" style="222" customWidth="1"/>
    <col min="3" max="3" width="2.59765625" style="222" customWidth="1"/>
    <col min="4" max="4" width="8" style="222" bestFit="1" customWidth="1"/>
    <col min="5" max="5" width="8" style="222" customWidth="1"/>
    <col min="6" max="10" width="3" style="222" customWidth="1"/>
    <col min="11" max="12" width="2.59765625" style="222" customWidth="1"/>
    <col min="13" max="13" width="2.5" style="222" customWidth="1"/>
    <col min="14" max="14" width="3.19921875" style="222" customWidth="1"/>
    <col min="15" max="15" width="11" style="222"/>
    <col min="16" max="16" width="9.19921875" style="222" customWidth="1"/>
    <col min="17" max="17" width="11.5" style="222" customWidth="1"/>
    <col min="18" max="18" width="3.19921875" style="222" customWidth="1"/>
    <col min="19" max="19" width="11" style="222"/>
    <col min="20" max="20" width="11" style="108" hidden="1" customWidth="1"/>
    <col min="21" max="21" width="5.59765625" style="108" hidden="1" customWidth="1"/>
    <col min="22" max="22" width="5.3984375" style="108" hidden="1" customWidth="1"/>
    <col min="23" max="24" width="5.8984375" style="108" hidden="1" customWidth="1"/>
    <col min="25" max="25" width="6.3984375" style="108" hidden="1" customWidth="1"/>
    <col min="26" max="27" width="7" style="108" hidden="1" customWidth="1"/>
    <col min="28" max="28" width="7.59765625" style="108" hidden="1" customWidth="1"/>
    <col min="29" max="29" width="3.19921875" style="108" hidden="1" customWidth="1"/>
    <col min="30" max="30" width="7.5" style="223" hidden="1" customWidth="1"/>
    <col min="31" max="31" width="6.59765625" style="223" hidden="1" customWidth="1"/>
    <col min="32" max="32" width="4.8984375" style="223" hidden="1" customWidth="1"/>
    <col min="33" max="33" width="5.19921875" style="108" hidden="1" customWidth="1"/>
    <col min="34" max="34" width="7.59765625" style="108" hidden="1" customWidth="1"/>
    <col min="35" max="35" width="2.8984375" style="108" hidden="1" customWidth="1"/>
    <col min="36" max="36" width="4.3984375" style="108" hidden="1" customWidth="1"/>
    <col min="37" max="37" width="2.69921875" style="108" hidden="1" customWidth="1"/>
    <col min="38" max="38" width="4.19921875" style="108" hidden="1" customWidth="1"/>
    <col min="39" max="40" width="3.69921875" style="108" hidden="1" customWidth="1"/>
    <col min="41" max="41" width="3.8984375" style="108" hidden="1" customWidth="1"/>
    <col min="42" max="42" width="3.5" style="108" hidden="1" customWidth="1"/>
    <col min="43" max="44" width="3.8984375" style="108" hidden="1" customWidth="1"/>
    <col min="45" max="59" width="9.19921875" style="108" hidden="1" customWidth="1"/>
    <col min="60" max="60" width="11" style="108" hidden="1" customWidth="1"/>
    <col min="61" max="61" width="3.5" style="108" hidden="1" customWidth="1"/>
    <col min="62" max="62" width="11" style="223" hidden="1" customWidth="1"/>
    <col min="63" max="64" width="4.59765625" style="223" hidden="1" customWidth="1"/>
    <col min="65" max="65" width="4.19921875" style="223" hidden="1" customWidth="1"/>
    <col min="66" max="66" width="5" style="223" hidden="1" customWidth="1"/>
    <col min="67" max="67" width="6.3984375" style="223" hidden="1" customWidth="1"/>
    <col min="68" max="68" width="3.59765625" style="223" hidden="1" customWidth="1"/>
    <col min="69" max="69" width="4.69921875" style="108" hidden="1" customWidth="1"/>
    <col min="70" max="75" width="11" style="108" hidden="1" customWidth="1"/>
    <col min="76" max="16384" width="11" style="108"/>
  </cols>
  <sheetData>
    <row r="1" spans="2:72" ht="3" customHeight="1" x14ac:dyDescent="0.25"/>
    <row r="2" spans="2:72" ht="9.75" customHeight="1" x14ac:dyDescent="0.25">
      <c r="H2" s="224">
        <f>E3</f>
        <v>0</v>
      </c>
    </row>
    <row r="3" spans="2:72" x14ac:dyDescent="0.25">
      <c r="B3" s="222" t="s">
        <v>253</v>
      </c>
      <c r="D3" s="225"/>
      <c r="E3" s="124"/>
      <c r="F3" s="133">
        <f>IF(AND(BG5&lt;&gt;0,BH5=0),BG5,BH5)</f>
        <v>0</v>
      </c>
      <c r="G3" s="226"/>
      <c r="H3" s="226"/>
      <c r="I3" s="227"/>
      <c r="J3" s="224">
        <f>F4</f>
        <v>0</v>
      </c>
      <c r="M3" s="222" t="s">
        <v>25</v>
      </c>
      <c r="AS3" s="223" t="s">
        <v>360</v>
      </c>
      <c r="AU3" s="223">
        <f>IF(F3&lt;&gt;0,CONCATENATE(AS3,F3),0)</f>
        <v>0</v>
      </c>
      <c r="BT3" s="294" t="s">
        <v>568</v>
      </c>
    </row>
    <row r="4" spans="2:72" x14ac:dyDescent="0.25">
      <c r="B4" s="222" t="s">
        <v>614</v>
      </c>
      <c r="F4" s="210"/>
      <c r="M4" s="222" t="s">
        <v>615</v>
      </c>
      <c r="P4" s="265"/>
      <c r="R4" s="289">
        <f ca="1">Z37</f>
        <v>1</v>
      </c>
      <c r="BT4" s="294" t="s">
        <v>569</v>
      </c>
    </row>
    <row r="5" spans="2:72" x14ac:dyDescent="0.25">
      <c r="M5" s="222" t="s">
        <v>616</v>
      </c>
      <c r="P5" s="265">
        <f ca="1">TODAY()</f>
        <v>43301</v>
      </c>
      <c r="AR5" s="116">
        <v>4147</v>
      </c>
      <c r="AS5" s="115" t="s">
        <v>159</v>
      </c>
      <c r="AT5" s="116">
        <f>IF($H$2=$AR5,AS5,IF($H$2=$AR6,AS6,IF($H$2=$AR7,AS7,IF($H$2=$AR8,AS8,IF($H$2=$AR9,AS9,IF($H$2=$AR10,AS10,IF($AR11=$H$2,AS11,IF($H$2=$AR12,AS12,0))))))))</f>
        <v>0</v>
      </c>
      <c r="AU5" s="116">
        <f>IF($H$2=$AR13,AS13,IF($H$2=$AR14,AS14,IF($H$2=$AR15,AS15,IF($H$2=$AR16,AS16,IF($H$2=$AR17,AS17,IF($H$2=$AR18,AS18,IF($H$2=$AR19,AS19,IF($H$2=$AR20,AS20,0))))))))</f>
        <v>0</v>
      </c>
      <c r="AV5" s="116">
        <f>IF($H$2=$AR21,AS21,IF($H$2=$AR22,AS22,IF($H$2=$AR23,AS23,IF($H$2=$AR24,AS24,IF($H$2=$AR25,AS25,IF($H$2=$AR27,AS27,IF($H$2=$AR28,AS28,IF($H$2=$AR29,AS29,0))))))))</f>
        <v>0</v>
      </c>
      <c r="AW5" s="116">
        <f>IF($H$2=$AR30,AS30,IF($H$2=$AR31,AS31,IF($H$2=$AR32,AS32,IF($H$2=$AR33,AS33,IF($H$2=$AR34,AS34,IF($H$2=$AR35,AS35,IF($H$2=$AR36,AS36,IF($H$2=$AR37,AS37,0))))))))</f>
        <v>0</v>
      </c>
      <c r="AX5" s="116">
        <f>IF($H$2=$AR38,AS38,IF($H$2=$AR39,AS39,IF($H$2=$AR40,AS40,IF($H$2=$AR41,AS41,IF($H$2=$AR42,AS42,IF($H$2=$AR43,AS43,IF($H$2=$AR44,AS44,IF($H$2=$AR45,AS45,0))))))))</f>
        <v>0</v>
      </c>
      <c r="AY5" s="116">
        <f>IF($H$2=$AR46,AS46,IF($H$2=$AR47,AS47,IF($H$2=$AR48,AS48,IF($H$2=$AR49,AS49,IF($H$2=$AR50,AS50,IF($H$2=$AR51,AS51,IF($H$2=$AR52,AS52,IF($H$2=$AR53,AS53,0))))))))</f>
        <v>0</v>
      </c>
      <c r="AZ5" s="116">
        <f>IF($H$2=$AR54,AS54,IF($H$2=$AR55,AS55,IF($H$2=$AR56,AS56,IF($H$2=$AR57,AS57,IF($H$2=$AR58,AS58,IF($H$2=$AR59,AS59,IF($H$2=$AR60,AS60,IF($H$2=$AR61,AS61,0))))))))</f>
        <v>0</v>
      </c>
      <c r="BA5" s="116">
        <f>IF($H$2=$AR62,AS62,IF($H$2=$AR63,AS63,IF($H$2=$AR64,AS64,IF($H$2=$AR65,AS65,IF($H$2=$AR66,AS66,IF($H$2=$AR67,AS67,IF($H$2=$AR68,AS68,IF($H$2=$AR69,AS69,0))))))))</f>
        <v>0</v>
      </c>
      <c r="BB5" s="116">
        <f>IF($H$2=$AR70,AS70,IF($H$2=$AR71,AS71,IF($H$2=$AR72,AS72,IF($H$2=$AR73,AS73,IF($H$2=$AR74,AS74,IF($H$2=$AR75,AS75,IF($H$2=$AR76,AS76,IF($H$2=$AR77,AS77,0))))))))</f>
        <v>0</v>
      </c>
      <c r="BC5" s="116">
        <f>IF($H$2=$AR78,AS78,IF($H$2=$AR79,AS79,IF($H$2=$AR80,AS80,IF($H$2=$AR81,AS81,IF($H$2=$AR82,AS82,IF($H$2=$AR83,AS83,IF($H$2=$AR84,AS84,IF($H$2=$AR85,AS85,0))))))))</f>
        <v>0</v>
      </c>
      <c r="BD5" s="116">
        <f>IF($H$2=$AR86,AS86,IF($H$2=$AR87,AS87,IF($H$2=$AR88,AS88,IF($H$2=$AR89,AS89,IF($H$2=$AR90,AS90,IF($H$2=$AR91,AS91,0))))))</f>
        <v>0</v>
      </c>
      <c r="BE5" s="228">
        <f>IF(AT5&lt;&gt;0,AT5,IF(AU5&lt;&gt;0,AU5,IF(AV5&lt;&gt;0,AV5,IF(AW5&lt;&gt;0,AW5,IF(AX5&lt;&gt;0,AX5,IF(AY5&lt;&gt;0,AY5,IF(AZ5&lt;&gt;0,AZ5,IF(BA5&lt;&gt;0,BA5,0))))))))</f>
        <v>0</v>
      </c>
      <c r="BF5" s="228">
        <f>IF(BB5&lt;&gt;0,BB5,IF(BC5&lt;&gt;0,BC5,IF(BD5&lt;&gt;0,BD5,0)))</f>
        <v>0</v>
      </c>
      <c r="BG5" s="228">
        <f>IF(BE5&lt;&gt;0,BE5,IF(BF5&lt;&gt;0,BF5,0))</f>
        <v>0</v>
      </c>
      <c r="BH5" s="228">
        <f t="shared" ref="BH5:BH32" si="0">IF(AND(AY5&lt;&gt;0,AZ5&lt;&gt;0,J3&lt;&gt;0),AZ5,0)</f>
        <v>0</v>
      </c>
      <c r="BT5" s="294" t="s">
        <v>605</v>
      </c>
    </row>
    <row r="6" spans="2:72" x14ac:dyDescent="0.25">
      <c r="B6" s="222" t="s">
        <v>34</v>
      </c>
      <c r="E6" s="266"/>
      <c r="M6" s="288">
        <f ca="1">IF(OR(AE25=1,AF25=1),W29,IF(AND(AG25=1,J35&lt;&gt;0,J36=0),W29,0))</f>
        <v>0</v>
      </c>
      <c r="AR6" s="116">
        <v>4123</v>
      </c>
      <c r="AS6" s="115" t="s">
        <v>160</v>
      </c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228">
        <f t="shared" ref="BE6:BE70" si="1">IF(AT6&lt;&gt;0,AT6,IF(AU6&lt;&gt;0,AU6,IF(AV6&lt;&gt;0,AV6,IF(AW6&lt;&gt;0,AW6,IF(AX6&lt;&gt;0,AX6,IF(AY6&lt;&gt;0,AY6,IF(AZ6&lt;&gt;0,AZ6,IF(BA6&lt;&gt;0,BA6,0))))))))</f>
        <v>0</v>
      </c>
      <c r="BF6" s="228">
        <f t="shared" ref="BF6:BF70" si="2">IF(BB6&lt;&gt;0,BB6,IF(BC6&lt;&gt;0,BC6,IF(BD6&lt;&gt;0,BD6,0)))</f>
        <v>0</v>
      </c>
      <c r="BG6" s="228">
        <f t="shared" ref="BG6:BG70" si="3">IF(BE6&lt;&gt;0,BE6,IF(BF6&lt;&gt;0,BF6,0))</f>
        <v>0</v>
      </c>
      <c r="BH6" s="228">
        <f t="shared" si="0"/>
        <v>0</v>
      </c>
      <c r="BT6" s="294" t="s">
        <v>571</v>
      </c>
    </row>
    <row r="7" spans="2:72" x14ac:dyDescent="0.25">
      <c r="E7" s="333"/>
      <c r="M7" s="222" t="str">
        <f>Rechnen!T4</f>
        <v>Maximale Differenz 60 Tage</v>
      </c>
      <c r="V7" s="223"/>
      <c r="W7" s="230" t="s">
        <v>43</v>
      </c>
      <c r="X7" s="231"/>
      <c r="Y7" s="231"/>
      <c r="Z7" s="231"/>
      <c r="AA7" s="231"/>
      <c r="AB7" s="232"/>
      <c r="AC7" s="231"/>
      <c r="AD7" s="233"/>
      <c r="AE7" s="232">
        <f>IF(P4&lt;&gt;0,EDATE($P$4,-(25*12)),0)</f>
        <v>0</v>
      </c>
      <c r="AF7" s="232">
        <f>IF(P4&lt;&gt;0,EDATE($P$4,-(25*12)),0)</f>
        <v>0</v>
      </c>
      <c r="AG7" s="232">
        <f>IF(P4&lt;&gt;0,EDATE($P$4,-(25*12)),0)</f>
        <v>0</v>
      </c>
      <c r="AH7" s="234">
        <f>P4</f>
        <v>0</v>
      </c>
      <c r="AI7" s="223"/>
      <c r="AJ7" s="223"/>
      <c r="AR7" s="116">
        <v>4469</v>
      </c>
      <c r="AS7" s="115" t="s">
        <v>161</v>
      </c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228">
        <f t="shared" si="1"/>
        <v>0</v>
      </c>
      <c r="BF7" s="228">
        <f t="shared" si="2"/>
        <v>0</v>
      </c>
      <c r="BG7" s="228">
        <f t="shared" si="3"/>
        <v>0</v>
      </c>
      <c r="BH7" s="228">
        <f t="shared" si="0"/>
        <v>0</v>
      </c>
      <c r="BT7" s="294" t="s">
        <v>572</v>
      </c>
    </row>
    <row r="8" spans="2:72" x14ac:dyDescent="0.25">
      <c r="K8" s="222" t="s">
        <v>69</v>
      </c>
      <c r="R8" s="321"/>
      <c r="V8" s="223"/>
      <c r="W8" s="235"/>
      <c r="X8" s="223">
        <f>18*12</f>
        <v>216</v>
      </c>
      <c r="Y8" s="236"/>
      <c r="Z8" s="236"/>
      <c r="AA8" s="236"/>
      <c r="AB8" s="237"/>
      <c r="AC8" s="236"/>
      <c r="AD8" s="238"/>
      <c r="AE8" s="238"/>
      <c r="AF8" s="238"/>
      <c r="AH8" s="223"/>
      <c r="AI8" s="223"/>
      <c r="AJ8" s="223"/>
      <c r="AR8" s="116">
        <v>4424</v>
      </c>
      <c r="AS8" s="115" t="s">
        <v>162</v>
      </c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228">
        <f t="shared" si="1"/>
        <v>0</v>
      </c>
      <c r="BF8" s="228">
        <f t="shared" si="2"/>
        <v>0</v>
      </c>
      <c r="BG8" s="228">
        <f t="shared" si="3"/>
        <v>0</v>
      </c>
      <c r="BH8" s="228">
        <f t="shared" si="0"/>
        <v>0</v>
      </c>
      <c r="BT8" s="296" t="s">
        <v>574</v>
      </c>
    </row>
    <row r="9" spans="2:72" x14ac:dyDescent="0.25">
      <c r="B9" s="222" t="s">
        <v>71</v>
      </c>
      <c r="K9" s="222" t="s">
        <v>70</v>
      </c>
      <c r="Q9" s="222" t="s">
        <v>310</v>
      </c>
      <c r="R9" s="125"/>
      <c r="U9" s="239" t="s">
        <v>46</v>
      </c>
      <c r="V9" s="223" t="s">
        <v>564</v>
      </c>
      <c r="W9" s="235"/>
      <c r="X9" s="244">
        <f>IF(P4&gt;0,EDATE(P4,-X8),0)</f>
        <v>0</v>
      </c>
      <c r="Y9" s="236" t="s">
        <v>25</v>
      </c>
      <c r="Z9" s="236"/>
      <c r="AA9" s="236"/>
      <c r="AB9" s="236"/>
      <c r="AC9" s="236"/>
      <c r="AD9" s="238"/>
      <c r="AE9" s="236" t="s">
        <v>60</v>
      </c>
      <c r="AF9" s="236"/>
      <c r="AG9" s="223"/>
      <c r="AH9" s="223"/>
      <c r="AI9" s="223"/>
      <c r="AJ9" s="223"/>
      <c r="AN9" s="108" t="s">
        <v>563</v>
      </c>
      <c r="AR9" s="116">
        <v>4422</v>
      </c>
      <c r="AS9" s="115" t="s">
        <v>163</v>
      </c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228">
        <f t="shared" si="1"/>
        <v>0</v>
      </c>
      <c r="BF9" s="228">
        <f t="shared" si="2"/>
        <v>0</v>
      </c>
      <c r="BG9" s="228">
        <f t="shared" si="3"/>
        <v>0</v>
      </c>
      <c r="BH9" s="228">
        <f t="shared" si="0"/>
        <v>0</v>
      </c>
      <c r="BO9" s="223" t="s">
        <v>327</v>
      </c>
      <c r="BP9" s="223" t="s">
        <v>364</v>
      </c>
      <c r="BQ9" s="223" t="s">
        <v>373</v>
      </c>
      <c r="BT9" s="296" t="s">
        <v>573</v>
      </c>
    </row>
    <row r="10" spans="2:72" x14ac:dyDescent="0.25">
      <c r="B10" s="222" t="s">
        <v>15</v>
      </c>
      <c r="C10" s="222" t="s">
        <v>369</v>
      </c>
      <c r="D10" s="222" t="s">
        <v>16</v>
      </c>
      <c r="E10" s="222" t="s">
        <v>23</v>
      </c>
      <c r="F10" s="222" t="s">
        <v>17</v>
      </c>
      <c r="R10" s="320"/>
      <c r="U10" s="223"/>
      <c r="W10" s="235" t="s">
        <v>24</v>
      </c>
      <c r="X10" s="236" t="s">
        <v>557</v>
      </c>
      <c r="Y10" s="238"/>
      <c r="Z10" s="240" t="s">
        <v>50</v>
      </c>
      <c r="AA10" s="240" t="s">
        <v>50</v>
      </c>
      <c r="AB10" s="236" t="s">
        <v>47</v>
      </c>
      <c r="AC10" s="236" t="s">
        <v>49</v>
      </c>
      <c r="AD10" s="236" t="s">
        <v>53</v>
      </c>
      <c r="AE10" s="236" t="s">
        <v>47</v>
      </c>
      <c r="AF10" s="236" t="s">
        <v>53</v>
      </c>
      <c r="AG10" s="241" t="s">
        <v>134</v>
      </c>
      <c r="AH10" s="223"/>
      <c r="AI10" s="223" t="s">
        <v>65</v>
      </c>
      <c r="AJ10" s="223" t="s">
        <v>66</v>
      </c>
      <c r="AL10" s="223" t="s">
        <v>325</v>
      </c>
      <c r="AM10" s="223" t="s">
        <v>326</v>
      </c>
      <c r="AN10" s="223" t="s">
        <v>559</v>
      </c>
      <c r="AO10" s="223" t="s">
        <v>560</v>
      </c>
      <c r="AP10" s="223" t="s">
        <v>561</v>
      </c>
      <c r="AQ10" s="223" t="s">
        <v>562</v>
      </c>
      <c r="AR10" s="116">
        <v>4144</v>
      </c>
      <c r="AS10" s="115" t="s">
        <v>164</v>
      </c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228">
        <f t="shared" si="1"/>
        <v>0</v>
      </c>
      <c r="BF10" s="228">
        <f t="shared" si="2"/>
        <v>0</v>
      </c>
      <c r="BG10" s="228">
        <f t="shared" si="3"/>
        <v>0</v>
      </c>
      <c r="BH10" s="228">
        <f t="shared" si="0"/>
        <v>0</v>
      </c>
      <c r="BO10" s="223" t="s">
        <v>370</v>
      </c>
      <c r="BP10" s="223" t="s">
        <v>371</v>
      </c>
      <c r="BQ10" s="223" t="s">
        <v>371</v>
      </c>
      <c r="BR10" s="223"/>
    </row>
    <row r="11" spans="2:72" ht="12" customHeight="1" x14ac:dyDescent="0.25">
      <c r="I11" s="335" t="s">
        <v>21</v>
      </c>
      <c r="K11" s="222" t="s">
        <v>44</v>
      </c>
      <c r="L11" s="222" t="s">
        <v>45</v>
      </c>
      <c r="M11" s="222" t="s">
        <v>289</v>
      </c>
      <c r="N11" s="293" t="s">
        <v>558</v>
      </c>
      <c r="O11" s="222" t="s">
        <v>28</v>
      </c>
      <c r="P11" s="222" t="s">
        <v>286</v>
      </c>
      <c r="U11" s="223"/>
      <c r="W11" s="235"/>
      <c r="X11" s="238"/>
      <c r="Y11" s="236"/>
      <c r="Z11" s="236" t="s">
        <v>327</v>
      </c>
      <c r="AA11" s="236" t="s">
        <v>21</v>
      </c>
      <c r="AB11" s="236"/>
      <c r="AC11" s="236"/>
      <c r="AD11" s="238"/>
      <c r="AE11" s="237">
        <f>SUM(D13:D24)</f>
        <v>0</v>
      </c>
      <c r="AF11" s="237">
        <f>SUM(D13:D24)</f>
        <v>0</v>
      </c>
      <c r="AG11" s="237">
        <f>SUM(D13:D24)</f>
        <v>0</v>
      </c>
      <c r="AH11" s="223"/>
      <c r="AI11" s="223"/>
      <c r="AJ11" s="223"/>
      <c r="AR11" s="116">
        <v>4302</v>
      </c>
      <c r="AS11" s="115" t="s">
        <v>165</v>
      </c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228">
        <f t="shared" si="1"/>
        <v>0</v>
      </c>
      <c r="BF11" s="228">
        <f t="shared" si="2"/>
        <v>0</v>
      </c>
      <c r="BG11" s="228">
        <f t="shared" si="3"/>
        <v>0</v>
      </c>
      <c r="BH11" s="228">
        <f t="shared" si="0"/>
        <v>0</v>
      </c>
    </row>
    <row r="12" spans="2:72" x14ac:dyDescent="0.25">
      <c r="F12" s="223" t="s">
        <v>18</v>
      </c>
      <c r="G12" s="223" t="s">
        <v>19</v>
      </c>
      <c r="H12" s="223" t="s">
        <v>20</v>
      </c>
      <c r="I12" s="336"/>
      <c r="J12" s="223"/>
      <c r="N12" s="222" t="s">
        <v>279</v>
      </c>
      <c r="O12" s="222" t="s">
        <v>29</v>
      </c>
      <c r="P12" s="222" t="s">
        <v>29</v>
      </c>
      <c r="U12" s="223"/>
      <c r="W12" s="235"/>
      <c r="X12" s="236"/>
      <c r="Y12" s="236"/>
      <c r="Z12" s="238"/>
      <c r="AA12" s="238"/>
      <c r="AB12" s="236"/>
      <c r="AC12" s="236"/>
      <c r="AD12" s="238"/>
      <c r="AE12" s="238"/>
      <c r="AF12" s="238"/>
      <c r="AH12" s="223"/>
      <c r="AI12" s="223"/>
      <c r="AJ12" s="223"/>
      <c r="AR12" s="116">
        <v>4431</v>
      </c>
      <c r="AS12" s="117" t="s">
        <v>166</v>
      </c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228">
        <f t="shared" si="1"/>
        <v>0</v>
      </c>
      <c r="BF12" s="228">
        <f t="shared" si="2"/>
        <v>0</v>
      </c>
      <c r="BG12" s="228">
        <f t="shared" si="3"/>
        <v>0</v>
      </c>
      <c r="BH12" s="228">
        <f t="shared" si="0"/>
        <v>0</v>
      </c>
      <c r="BK12" s="223">
        <f>MIN(BK13:BK24)</f>
        <v>0</v>
      </c>
      <c r="BL12" s="242">
        <f>SUM(BL13:BL24)</f>
        <v>0</v>
      </c>
      <c r="BM12" s="242">
        <f>IF(BM13&lt;&gt;0,BM13,IF(BM14&lt;&gt;0,BM14,IF(BM15&lt;&gt;0,BM15,IF(BM16&lt;&gt;0,BM16,IF(BM17&lt;&gt;0,BM17,IF(BM18&lt;&gt;0,BM18,IF(BM19&lt;&gt;0,BM19,IF(BM20&lt;&gt;0,BM20,IF(BM21&lt;&gt;0,BM21,IF(BM22&lt;&gt;0,BM22,IF(BM23&lt;&gt;0,BM23,IF(BM24&lt;&gt;0,BM24,0))))))))))))</f>
        <v>0</v>
      </c>
      <c r="BN12" s="223">
        <f>C12</f>
        <v>0</v>
      </c>
      <c r="BO12" s="242">
        <f>IF(BO13&lt;&gt;0,BO13,IF(BO14&lt;&gt;0,BO14,IF(BO15&lt;&gt;0,BO15,IF(BO16&lt;&gt;0,BO16,IF(BO17&lt;&gt;0,BO17,IF(BO18&lt;&gt;0,BO18,IF(BO19&lt;&gt;0,BO19,IF(BO20&lt;&gt;0,BO20,IF(BO21&lt;&gt;0,BO21,IF(BO22&lt;&gt;0,BO22,IF(BO23&lt;&gt;0,BO23,IF(BO24&lt;&gt;0,BO24,0))))))))))))</f>
        <v>0</v>
      </c>
      <c r="BP12" s="223">
        <f>IF(BO12=BO9,BP9,IF(BO12=BO10,BP10,0))</f>
        <v>0</v>
      </c>
      <c r="BQ12" s="223">
        <f>IF(BO12=BO9,BQ9,IF(BO12=BO10,BQ10,0))</f>
        <v>0</v>
      </c>
    </row>
    <row r="13" spans="2:72" x14ac:dyDescent="0.25">
      <c r="B13" s="327"/>
      <c r="C13" s="272"/>
      <c r="D13" s="271"/>
      <c r="E13" s="271"/>
      <c r="F13" s="272"/>
      <c r="G13" s="272"/>
      <c r="H13" s="272"/>
      <c r="I13" s="127"/>
      <c r="J13" s="243"/>
      <c r="K13" s="243">
        <f t="shared" ref="K13:K24" si="4">IF(AND($J$35&lt;&gt;0,$J$36=0,D13&lt;&gt;0),$J$35,0)</f>
        <v>0</v>
      </c>
      <c r="L13" s="243">
        <f t="shared" ref="L13:L24" si="5">IF(AND($J$35=0,$J$36&lt;&gt;0,D13&lt;&gt;0),$J$36,0)</f>
        <v>0</v>
      </c>
      <c r="M13" s="243">
        <f>IF(U13=0,0,IF(U13=1,$U$9,0))</f>
        <v>0</v>
      </c>
      <c r="N13" s="125"/>
      <c r="O13" s="280"/>
      <c r="P13" s="128"/>
      <c r="U13" s="223">
        <f>'Gefestigte LG'!BE10</f>
        <v>0</v>
      </c>
      <c r="V13" s="223">
        <f>IF(N13&lt;&gt;0,1,0)</f>
        <v>0</v>
      </c>
      <c r="W13" s="235">
        <f>IF(D13&lt;&gt;0,1-V13,0)</f>
        <v>0</v>
      </c>
      <c r="X13" s="236">
        <f>IF(N13&lt;&gt;0,1,0)</f>
        <v>0</v>
      </c>
      <c r="Y13" s="236">
        <f>IF(M13&lt;&gt;0,1-V13,0)</f>
        <v>0</v>
      </c>
      <c r="Z13" s="236">
        <f t="shared" ref="Z13:Z24" si="6">IF(OR(G13&lt;&gt;0,I13&lt;&gt;0),1,0)</f>
        <v>0</v>
      </c>
      <c r="AA13" s="223"/>
      <c r="AB13" s="236">
        <f>IF(AND(BI13=0,K13&lt;&gt;0,Y13=1,J13=0,X13=0),1,0)</f>
        <v>0</v>
      </c>
      <c r="AC13" s="236">
        <f>IF(AND(L13&lt;&gt;0,Y13=1,BI13=0,J13=0),1,0)</f>
        <v>0</v>
      </c>
      <c r="AD13" s="236">
        <f t="shared" ref="AD13:AD24" si="7">IF(AND(Y13=1,J13&lt;&gt;0),1,0)</f>
        <v>0</v>
      </c>
      <c r="AE13" s="236">
        <f>IF(AND(W25=1,AB25=1,$AE$11&gt;$AE$7),1,0)</f>
        <v>0</v>
      </c>
      <c r="AF13" s="236">
        <f t="shared" ref="AF13:AF24" si="8">IF(AND($W$25=1,$AD$25=1,$AF$11&gt;$AF$7,Y13=1),1,0)</f>
        <v>0</v>
      </c>
      <c r="AG13" s="223">
        <f>IF(AND(W25=1,Z25=1,Y13=1,$AG$11&gt;$AG$7),1,0)</f>
        <v>0</v>
      </c>
      <c r="AH13" s="244">
        <f t="shared" ref="AH13:AH24" si="9">IF(E13&gt;0,EDATE(E13,84),0)</f>
        <v>0</v>
      </c>
      <c r="AI13" s="223">
        <f t="shared" ref="AI13:AI24" si="10">IF(AND(H13&lt;&gt;0,AH13&gt;$AH$7),1,0)</f>
        <v>0</v>
      </c>
      <c r="AJ13" s="223">
        <f t="shared" ref="AJ13:AJ24" si="11">IF(AND(H13&lt;&gt;0,AH13&lt;=$AH$7),1,0)</f>
        <v>0</v>
      </c>
      <c r="AL13" s="223">
        <f>IF(AND(M13&lt;&gt;0,G13&lt;&gt;0),1,0)</f>
        <v>0</v>
      </c>
      <c r="AM13" s="223">
        <f>IF(AND(I13&lt;&gt;0,M13&lt;&gt;0),1,0)</f>
        <v>0</v>
      </c>
      <c r="AN13" s="223">
        <f>IF(AND(BI13=0,J13=0,K13&lt;&gt;0,N13&lt;&gt;0),1,0)</f>
        <v>0</v>
      </c>
      <c r="AO13" s="223">
        <f>IF(AND(BI13=0,J13=0,K13=0,L13&lt;&gt;0,N13&lt;&gt;0),1,0)</f>
        <v>0</v>
      </c>
      <c r="AP13" s="223">
        <f>IF(AND(BI13&lt;&gt;0,J13=0,N13&lt;&gt;0),1,0)</f>
        <v>0</v>
      </c>
      <c r="AQ13" s="223">
        <f>IF(AND(F13=0,H13=0,J13&lt;&gt;0,I13=0,N13&lt;&gt;0),1,0)</f>
        <v>0</v>
      </c>
      <c r="AR13" s="116">
        <v>4105</v>
      </c>
      <c r="AS13" s="115" t="s">
        <v>167</v>
      </c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228">
        <f t="shared" si="1"/>
        <v>0</v>
      </c>
      <c r="BF13" s="228">
        <f t="shared" si="2"/>
        <v>0</v>
      </c>
      <c r="BG13" s="228">
        <f t="shared" si="3"/>
        <v>0</v>
      </c>
      <c r="BH13" s="228">
        <f>IF(AND(AY13&lt;&gt;0,AZ13&lt;&gt;0,J12&lt;&gt;0),AZ13,0)</f>
        <v>0</v>
      </c>
      <c r="BI13" s="223">
        <f>SUM(AL13:AM13)</f>
        <v>0</v>
      </c>
      <c r="BJ13" s="223">
        <f>IF(Y13=1,B13,0)</f>
        <v>0</v>
      </c>
      <c r="BK13" s="223" t="str">
        <f>IF(Y13=1,D13,"")</f>
        <v/>
      </c>
      <c r="BL13" s="223">
        <f>IF(BK13=$BK$12,BK13,0)</f>
        <v>0</v>
      </c>
      <c r="BM13" s="223">
        <f>IF(BK13=$BK$12,BJ13,0)</f>
        <v>0</v>
      </c>
      <c r="BN13" s="223">
        <f>C13</f>
        <v>0</v>
      </c>
      <c r="BO13" s="223">
        <f>IF(BK13=$BK$12,BN13,0)</f>
        <v>0</v>
      </c>
      <c r="BR13" s="223"/>
    </row>
    <row r="14" spans="2:72" x14ac:dyDescent="0.25">
      <c r="B14" s="270"/>
      <c r="C14" s="272"/>
      <c r="D14" s="271"/>
      <c r="E14" s="271"/>
      <c r="F14" s="272"/>
      <c r="G14" s="272"/>
      <c r="H14" s="272"/>
      <c r="I14" s="127"/>
      <c r="J14" s="243"/>
      <c r="K14" s="243">
        <f t="shared" si="4"/>
        <v>0</v>
      </c>
      <c r="L14" s="243">
        <f t="shared" si="5"/>
        <v>0</v>
      </c>
      <c r="M14" s="243">
        <f t="shared" ref="M14:M16" si="12">IF(U14=0,0,IF(U14=1,$U$9,0))</f>
        <v>0</v>
      </c>
      <c r="N14" s="125"/>
      <c r="O14" s="280"/>
      <c r="P14" s="128"/>
      <c r="U14" s="223">
        <f>'Gefestigte LG'!BE11</f>
        <v>0</v>
      </c>
      <c r="V14" s="223">
        <f t="shared" ref="V14:V24" si="13">IF(N14&lt;&gt;0,1,0)</f>
        <v>0</v>
      </c>
      <c r="W14" s="235">
        <f t="shared" ref="W14:W24" si="14">IF(D14&lt;&gt;0,1-V14,0)</f>
        <v>0</v>
      </c>
      <c r="X14" s="236">
        <f t="shared" ref="X14:X24" si="15">IF(AND(N14&lt;&gt;0,D14&lt;=$X$9),1,0)</f>
        <v>0</v>
      </c>
      <c r="Y14" s="236">
        <f t="shared" ref="Y14:Y24" si="16">IF(M14&lt;&gt;0,1-V14,0)</f>
        <v>0</v>
      </c>
      <c r="Z14" s="236">
        <f t="shared" si="6"/>
        <v>0</v>
      </c>
      <c r="AA14" s="236"/>
      <c r="AB14" s="236">
        <f t="shared" ref="AB14:AB24" si="17">IF(AND(BI14=0,K14&lt;&gt;0,Y14=1,J14=0),1,0)</f>
        <v>0</v>
      </c>
      <c r="AC14" s="236">
        <f t="shared" ref="AC14:AC24" si="18">IF(AND(L14&lt;&gt;0,Y14=1,BI14=0,J14=0),1,0)</f>
        <v>0</v>
      </c>
      <c r="AD14" s="236">
        <f t="shared" si="7"/>
        <v>0</v>
      </c>
      <c r="AE14" s="236">
        <f t="shared" ref="AE14:AE24" si="19">IF(AND(W27=1,AB27=1,$AE$11&gt;$AE$7),1,0)</f>
        <v>0</v>
      </c>
      <c r="AF14" s="236">
        <f t="shared" si="8"/>
        <v>0</v>
      </c>
      <c r="AG14" s="223">
        <f t="shared" ref="AG14:AG24" si="20">IF(AND(W27=1,Z27=1,Y14=1,$AG$11&gt;$AG$7),1,0)</f>
        <v>0</v>
      </c>
      <c r="AH14" s="244">
        <f t="shared" si="9"/>
        <v>0</v>
      </c>
      <c r="AI14" s="223">
        <f t="shared" si="10"/>
        <v>0</v>
      </c>
      <c r="AJ14" s="223">
        <f t="shared" si="11"/>
        <v>0</v>
      </c>
      <c r="AL14" s="223">
        <f t="shared" ref="AL14:AL24" si="21">IF(AND(M14&lt;&gt;0,G14&lt;&gt;0),1,0)</f>
        <v>0</v>
      </c>
      <c r="AM14" s="223">
        <f t="shared" ref="AM14:AM24" si="22">IF(AND(I14&lt;&gt;0,M14&lt;&gt;0),1,0)</f>
        <v>0</v>
      </c>
      <c r="AN14" s="223">
        <f t="shared" ref="AN14:AN24" si="23">IF(AND(BI14=0,J14=0,K14&lt;&gt;0,N14&lt;&gt;0),1,0)</f>
        <v>0</v>
      </c>
      <c r="AO14" s="223">
        <f t="shared" ref="AO14:AO24" si="24">IF(AND(BI14=0,J14=0,K14=0,L14&lt;&gt;0,N14&lt;&gt;0),1,0)</f>
        <v>0</v>
      </c>
      <c r="AP14" s="223">
        <f t="shared" ref="AP14:AP24" si="25">IF(AND(BI14&lt;&gt;0,J14=0,N14&lt;&gt;0),1,0)</f>
        <v>0</v>
      </c>
      <c r="AQ14" s="223">
        <f t="shared" ref="AQ14:AQ24" si="26">IF(AND(F14=0,H14=0,J14&lt;&gt;0,I14=0,N14&lt;&gt;0),1,0)</f>
        <v>0</v>
      </c>
      <c r="AR14" s="116">
        <v>4102</v>
      </c>
      <c r="AS14" s="115" t="s">
        <v>168</v>
      </c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228">
        <f t="shared" si="1"/>
        <v>0</v>
      </c>
      <c r="BF14" s="228">
        <f t="shared" si="2"/>
        <v>0</v>
      </c>
      <c r="BG14" s="228">
        <f t="shared" si="3"/>
        <v>0</v>
      </c>
      <c r="BH14" s="228">
        <f>IF(AND(AY14&lt;&gt;0,AZ14&lt;&gt;0,J13&lt;&gt;0),AZ14,0)</f>
        <v>0</v>
      </c>
      <c r="BI14" s="223">
        <f t="shared" ref="BI14:BI25" si="27">SUM(AL14:AM14)</f>
        <v>0</v>
      </c>
      <c r="BJ14" s="223">
        <f t="shared" ref="BJ14:BJ24" si="28">IF(Y14=1,B14,0)</f>
        <v>0</v>
      </c>
      <c r="BK14" s="223" t="str">
        <f t="shared" ref="BK14:BK24" si="29">IF(Y14=1,D14,"")</f>
        <v/>
      </c>
      <c r="BL14" s="223">
        <f t="shared" ref="BL14:BL24" si="30">IF(BK14=$BK$12,BK14,0)</f>
        <v>0</v>
      </c>
      <c r="BM14" s="223">
        <f t="shared" ref="BM14:BM24" si="31">IF(BK14=$BK$12,BJ14,0)</f>
        <v>0</v>
      </c>
      <c r="BN14" s="223">
        <f t="shared" ref="BN14:BN24" si="32">C14</f>
        <v>0</v>
      </c>
      <c r="BO14" s="223">
        <f t="shared" ref="BO14:BO24" si="33">IF(BK14=$BK$12,BN14,0)</f>
        <v>0</v>
      </c>
      <c r="BR14" s="223"/>
    </row>
    <row r="15" spans="2:72" x14ac:dyDescent="0.25">
      <c r="B15" s="270"/>
      <c r="C15" s="272"/>
      <c r="D15" s="271"/>
      <c r="E15" s="271"/>
      <c r="F15" s="272"/>
      <c r="G15" s="272"/>
      <c r="H15" s="272"/>
      <c r="I15" s="127"/>
      <c r="J15" s="243"/>
      <c r="K15" s="243">
        <f t="shared" si="4"/>
        <v>0</v>
      </c>
      <c r="L15" s="243">
        <f t="shared" si="5"/>
        <v>0</v>
      </c>
      <c r="M15" s="243">
        <f t="shared" si="12"/>
        <v>0</v>
      </c>
      <c r="N15" s="125"/>
      <c r="O15" s="280"/>
      <c r="P15" s="128"/>
      <c r="U15" s="223">
        <f>'Gefestigte LG'!BE12</f>
        <v>0</v>
      </c>
      <c r="V15" s="223">
        <f t="shared" si="13"/>
        <v>0</v>
      </c>
      <c r="W15" s="235">
        <f t="shared" si="14"/>
        <v>0</v>
      </c>
      <c r="X15" s="236">
        <f t="shared" si="15"/>
        <v>0</v>
      </c>
      <c r="Y15" s="236">
        <f t="shared" si="16"/>
        <v>0</v>
      </c>
      <c r="Z15" s="236">
        <f t="shared" si="6"/>
        <v>0</v>
      </c>
      <c r="AA15" s="236"/>
      <c r="AB15" s="236">
        <f t="shared" si="17"/>
        <v>0</v>
      </c>
      <c r="AC15" s="236">
        <f t="shared" si="18"/>
        <v>0</v>
      </c>
      <c r="AD15" s="236">
        <f t="shared" si="7"/>
        <v>0</v>
      </c>
      <c r="AE15" s="236">
        <f t="shared" si="19"/>
        <v>0</v>
      </c>
      <c r="AF15" s="236">
        <f t="shared" si="8"/>
        <v>0</v>
      </c>
      <c r="AG15" s="223">
        <f t="shared" si="20"/>
        <v>0</v>
      </c>
      <c r="AH15" s="244">
        <f t="shared" si="9"/>
        <v>0</v>
      </c>
      <c r="AI15" s="223">
        <f t="shared" si="10"/>
        <v>0</v>
      </c>
      <c r="AJ15" s="223">
        <f t="shared" si="11"/>
        <v>0</v>
      </c>
      <c r="AL15" s="223">
        <f t="shared" si="21"/>
        <v>0</v>
      </c>
      <c r="AM15" s="223">
        <f t="shared" si="22"/>
        <v>0</v>
      </c>
      <c r="AN15" s="223">
        <f t="shared" si="23"/>
        <v>0</v>
      </c>
      <c r="AO15" s="223">
        <f t="shared" si="24"/>
        <v>0</v>
      </c>
      <c r="AP15" s="223">
        <f t="shared" si="25"/>
        <v>0</v>
      </c>
      <c r="AQ15" s="223">
        <f t="shared" si="26"/>
        <v>0</v>
      </c>
      <c r="AR15" s="116">
        <v>4127</v>
      </c>
      <c r="AS15" s="115" t="s">
        <v>169</v>
      </c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228">
        <f t="shared" si="1"/>
        <v>0</v>
      </c>
      <c r="BF15" s="228">
        <f t="shared" si="2"/>
        <v>0</v>
      </c>
      <c r="BG15" s="228">
        <f t="shared" si="3"/>
        <v>0</v>
      </c>
      <c r="BH15" s="228">
        <f t="shared" si="0"/>
        <v>0</v>
      </c>
      <c r="BI15" s="223">
        <f t="shared" si="27"/>
        <v>0</v>
      </c>
      <c r="BJ15" s="223">
        <f t="shared" si="28"/>
        <v>0</v>
      </c>
      <c r="BK15" s="223" t="str">
        <f t="shared" si="29"/>
        <v/>
      </c>
      <c r="BL15" s="223">
        <f t="shared" si="30"/>
        <v>0</v>
      </c>
      <c r="BM15" s="223">
        <f t="shared" si="31"/>
        <v>0</v>
      </c>
      <c r="BN15" s="223">
        <f t="shared" si="32"/>
        <v>0</v>
      </c>
      <c r="BO15" s="223">
        <f t="shared" si="33"/>
        <v>0</v>
      </c>
      <c r="BR15" s="223"/>
    </row>
    <row r="16" spans="2:72" x14ac:dyDescent="0.25">
      <c r="B16" s="270"/>
      <c r="C16" s="272"/>
      <c r="D16" s="271"/>
      <c r="E16" s="271"/>
      <c r="F16" s="272"/>
      <c r="G16" s="272"/>
      <c r="H16" s="272"/>
      <c r="I16" s="127"/>
      <c r="J16" s="243"/>
      <c r="K16" s="243">
        <f t="shared" si="4"/>
        <v>0</v>
      </c>
      <c r="L16" s="243">
        <f t="shared" si="5"/>
        <v>0</v>
      </c>
      <c r="M16" s="243">
        <f t="shared" si="12"/>
        <v>0</v>
      </c>
      <c r="N16" s="125"/>
      <c r="O16" s="280"/>
      <c r="P16" s="128"/>
      <c r="U16" s="223">
        <f>'Gefestigte LG'!BE13</f>
        <v>0</v>
      </c>
      <c r="V16" s="223">
        <f t="shared" si="13"/>
        <v>0</v>
      </c>
      <c r="W16" s="235">
        <f t="shared" si="14"/>
        <v>0</v>
      </c>
      <c r="X16" s="236">
        <f t="shared" si="15"/>
        <v>0</v>
      </c>
      <c r="Y16" s="236">
        <f t="shared" si="16"/>
        <v>0</v>
      </c>
      <c r="Z16" s="236">
        <f t="shared" si="6"/>
        <v>0</v>
      </c>
      <c r="AA16" s="236"/>
      <c r="AB16" s="236">
        <f t="shared" si="17"/>
        <v>0</v>
      </c>
      <c r="AC16" s="236">
        <f t="shared" si="18"/>
        <v>0</v>
      </c>
      <c r="AD16" s="236">
        <f t="shared" si="7"/>
        <v>0</v>
      </c>
      <c r="AE16" s="236">
        <f t="shared" si="19"/>
        <v>0</v>
      </c>
      <c r="AF16" s="236">
        <f t="shared" si="8"/>
        <v>0</v>
      </c>
      <c r="AG16" s="223">
        <f t="shared" si="20"/>
        <v>0</v>
      </c>
      <c r="AH16" s="244">
        <f t="shared" si="9"/>
        <v>0</v>
      </c>
      <c r="AI16" s="223">
        <f t="shared" si="10"/>
        <v>0</v>
      </c>
      <c r="AJ16" s="223">
        <f t="shared" si="11"/>
        <v>0</v>
      </c>
      <c r="AL16" s="223">
        <f t="shared" si="21"/>
        <v>0</v>
      </c>
      <c r="AM16" s="223">
        <f t="shared" si="22"/>
        <v>0</v>
      </c>
      <c r="AN16" s="223">
        <f t="shared" si="23"/>
        <v>0</v>
      </c>
      <c r="AO16" s="223">
        <f t="shared" si="24"/>
        <v>0</v>
      </c>
      <c r="AP16" s="223">
        <f t="shared" si="25"/>
        <v>0</v>
      </c>
      <c r="AQ16" s="223">
        <f t="shared" si="26"/>
        <v>0</v>
      </c>
      <c r="AR16" s="116">
        <v>4223</v>
      </c>
      <c r="AS16" s="115" t="s">
        <v>170</v>
      </c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228">
        <f t="shared" si="1"/>
        <v>0</v>
      </c>
      <c r="BF16" s="228">
        <f t="shared" si="2"/>
        <v>0</v>
      </c>
      <c r="BG16" s="228">
        <f t="shared" si="3"/>
        <v>0</v>
      </c>
      <c r="BH16" s="228">
        <f t="shared" si="0"/>
        <v>0</v>
      </c>
      <c r="BI16" s="223">
        <f t="shared" si="27"/>
        <v>0</v>
      </c>
      <c r="BJ16" s="223">
        <f t="shared" si="28"/>
        <v>0</v>
      </c>
      <c r="BK16" s="223" t="str">
        <f t="shared" si="29"/>
        <v/>
      </c>
      <c r="BL16" s="223">
        <f t="shared" si="30"/>
        <v>0</v>
      </c>
      <c r="BM16" s="223">
        <f t="shared" si="31"/>
        <v>0</v>
      </c>
      <c r="BN16" s="223">
        <f t="shared" si="32"/>
        <v>0</v>
      </c>
      <c r="BO16" s="223">
        <f t="shared" si="33"/>
        <v>0</v>
      </c>
      <c r="BR16" s="223"/>
    </row>
    <row r="17" spans="2:70" x14ac:dyDescent="0.25">
      <c r="B17" s="124"/>
      <c r="C17" s="127"/>
      <c r="D17" s="271"/>
      <c r="E17" s="126"/>
      <c r="F17" s="127"/>
      <c r="G17" s="127"/>
      <c r="H17" s="127"/>
      <c r="I17" s="127"/>
      <c r="J17" s="243"/>
      <c r="K17" s="243">
        <f t="shared" si="4"/>
        <v>0</v>
      </c>
      <c r="L17" s="243">
        <f t="shared" si="5"/>
        <v>0</v>
      </c>
      <c r="M17" s="243">
        <f>IF(U17=0,0,IF(U17=1,$U$9,0))</f>
        <v>0</v>
      </c>
      <c r="N17" s="125"/>
      <c r="O17" s="128"/>
      <c r="P17" s="128"/>
      <c r="U17" s="223">
        <f>'Gefestigte LG'!BE14</f>
        <v>0</v>
      </c>
      <c r="V17" s="223">
        <f t="shared" si="13"/>
        <v>0</v>
      </c>
      <c r="W17" s="235">
        <f t="shared" si="14"/>
        <v>0</v>
      </c>
      <c r="X17" s="236">
        <f t="shared" si="15"/>
        <v>0</v>
      </c>
      <c r="Y17" s="236">
        <f t="shared" si="16"/>
        <v>0</v>
      </c>
      <c r="Z17" s="236">
        <f t="shared" si="6"/>
        <v>0</v>
      </c>
      <c r="AA17" s="236"/>
      <c r="AB17" s="236">
        <f t="shared" si="17"/>
        <v>0</v>
      </c>
      <c r="AC17" s="236">
        <f t="shared" si="18"/>
        <v>0</v>
      </c>
      <c r="AD17" s="236">
        <f t="shared" si="7"/>
        <v>0</v>
      </c>
      <c r="AE17" s="236">
        <f t="shared" si="19"/>
        <v>0</v>
      </c>
      <c r="AF17" s="236">
        <f t="shared" si="8"/>
        <v>0</v>
      </c>
      <c r="AG17" s="223">
        <f t="shared" si="20"/>
        <v>0</v>
      </c>
      <c r="AH17" s="244">
        <f t="shared" si="9"/>
        <v>0</v>
      </c>
      <c r="AI17" s="223">
        <f t="shared" si="10"/>
        <v>0</v>
      </c>
      <c r="AJ17" s="223">
        <f t="shared" si="11"/>
        <v>0</v>
      </c>
      <c r="AL17" s="223">
        <f>IF(AND(M17&lt;&gt;0,G17&lt;&gt;0),1,0)</f>
        <v>0</v>
      </c>
      <c r="AM17" s="223">
        <f>IF(AND(I17&lt;&gt;0,M17&lt;&gt;0),1,0)</f>
        <v>0</v>
      </c>
      <c r="AN17" s="223">
        <f t="shared" si="23"/>
        <v>0</v>
      </c>
      <c r="AO17" s="223">
        <f t="shared" si="24"/>
        <v>0</v>
      </c>
      <c r="AP17" s="223">
        <f t="shared" si="25"/>
        <v>0</v>
      </c>
      <c r="AQ17" s="223">
        <f t="shared" si="26"/>
        <v>0</v>
      </c>
      <c r="AR17" s="116">
        <v>4461</v>
      </c>
      <c r="AS17" s="115" t="s">
        <v>171</v>
      </c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228">
        <f t="shared" si="1"/>
        <v>0</v>
      </c>
      <c r="BF17" s="228">
        <f t="shared" si="2"/>
        <v>0</v>
      </c>
      <c r="BG17" s="228">
        <f t="shared" si="3"/>
        <v>0</v>
      </c>
      <c r="BH17" s="228">
        <f t="shared" si="0"/>
        <v>0</v>
      </c>
      <c r="BI17" s="223">
        <f t="shared" si="27"/>
        <v>0</v>
      </c>
      <c r="BJ17" s="223">
        <f t="shared" si="28"/>
        <v>0</v>
      </c>
      <c r="BK17" s="223" t="str">
        <f t="shared" si="29"/>
        <v/>
      </c>
      <c r="BL17" s="223">
        <f t="shared" si="30"/>
        <v>0</v>
      </c>
      <c r="BM17" s="223">
        <f t="shared" si="31"/>
        <v>0</v>
      </c>
      <c r="BN17" s="223">
        <f t="shared" si="32"/>
        <v>0</v>
      </c>
      <c r="BO17" s="223">
        <f t="shared" si="33"/>
        <v>0</v>
      </c>
      <c r="BR17" s="223"/>
    </row>
    <row r="18" spans="2:70" x14ac:dyDescent="0.25">
      <c r="B18" s="124"/>
      <c r="C18" s="127"/>
      <c r="D18" s="271"/>
      <c r="E18" s="126"/>
      <c r="F18" s="127"/>
      <c r="G18" s="127"/>
      <c r="H18" s="127"/>
      <c r="I18" s="127"/>
      <c r="J18" s="243"/>
      <c r="K18" s="243">
        <f t="shared" si="4"/>
        <v>0</v>
      </c>
      <c r="L18" s="243">
        <f t="shared" si="5"/>
        <v>0</v>
      </c>
      <c r="M18" s="243">
        <f t="shared" ref="M18:M24" si="34">IF(U18=0,0,IF(U18=1,$U$9,0))</f>
        <v>0</v>
      </c>
      <c r="N18" s="129"/>
      <c r="O18" s="128"/>
      <c r="P18" s="128"/>
      <c r="U18" s="223">
        <f>'Gefestigte LG'!BE15</f>
        <v>0</v>
      </c>
      <c r="V18" s="223">
        <f t="shared" si="13"/>
        <v>0</v>
      </c>
      <c r="W18" s="235">
        <f t="shared" si="14"/>
        <v>0</v>
      </c>
      <c r="X18" s="236">
        <f t="shared" si="15"/>
        <v>0</v>
      </c>
      <c r="Y18" s="236">
        <f t="shared" si="16"/>
        <v>0</v>
      </c>
      <c r="Z18" s="236">
        <f t="shared" si="6"/>
        <v>0</v>
      </c>
      <c r="AA18" s="236"/>
      <c r="AB18" s="236">
        <f t="shared" si="17"/>
        <v>0</v>
      </c>
      <c r="AC18" s="236">
        <f t="shared" si="18"/>
        <v>0</v>
      </c>
      <c r="AD18" s="236">
        <f t="shared" si="7"/>
        <v>0</v>
      </c>
      <c r="AE18" s="236">
        <f t="shared" si="19"/>
        <v>0</v>
      </c>
      <c r="AF18" s="236">
        <f t="shared" si="8"/>
        <v>0</v>
      </c>
      <c r="AG18" s="223">
        <f t="shared" si="20"/>
        <v>0</v>
      </c>
      <c r="AH18" s="244">
        <f t="shared" si="9"/>
        <v>0</v>
      </c>
      <c r="AI18" s="223">
        <f t="shared" si="10"/>
        <v>0</v>
      </c>
      <c r="AJ18" s="223">
        <f t="shared" si="11"/>
        <v>0</v>
      </c>
      <c r="AL18" s="223">
        <f t="shared" si="21"/>
        <v>0</v>
      </c>
      <c r="AM18" s="223">
        <f t="shared" si="22"/>
        <v>0</v>
      </c>
      <c r="AN18" s="223">
        <f t="shared" si="23"/>
        <v>0</v>
      </c>
      <c r="AO18" s="223">
        <f t="shared" si="24"/>
        <v>0</v>
      </c>
      <c r="AP18" s="223">
        <f t="shared" si="25"/>
        <v>0</v>
      </c>
      <c r="AQ18" s="223">
        <f t="shared" si="26"/>
        <v>0</v>
      </c>
      <c r="AR18" s="116">
        <v>4103</v>
      </c>
      <c r="AS18" s="115" t="s">
        <v>172</v>
      </c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228">
        <f t="shared" si="1"/>
        <v>0</v>
      </c>
      <c r="BF18" s="228">
        <f t="shared" si="2"/>
        <v>0</v>
      </c>
      <c r="BG18" s="228">
        <f t="shared" si="3"/>
        <v>0</v>
      </c>
      <c r="BH18" s="228">
        <f t="shared" si="0"/>
        <v>0</v>
      </c>
      <c r="BI18" s="223">
        <f t="shared" si="27"/>
        <v>0</v>
      </c>
      <c r="BJ18" s="223">
        <f t="shared" si="28"/>
        <v>0</v>
      </c>
      <c r="BK18" s="223" t="str">
        <f t="shared" si="29"/>
        <v/>
      </c>
      <c r="BL18" s="223">
        <f t="shared" si="30"/>
        <v>0</v>
      </c>
      <c r="BM18" s="223">
        <f t="shared" si="31"/>
        <v>0</v>
      </c>
      <c r="BN18" s="223">
        <f t="shared" si="32"/>
        <v>0</v>
      </c>
      <c r="BO18" s="223">
        <f t="shared" si="33"/>
        <v>0</v>
      </c>
      <c r="BR18" s="223"/>
    </row>
    <row r="19" spans="2:70" x14ac:dyDescent="0.25">
      <c r="B19" s="124"/>
      <c r="C19" s="127"/>
      <c r="D19" s="271"/>
      <c r="E19" s="126"/>
      <c r="F19" s="127"/>
      <c r="G19" s="127"/>
      <c r="H19" s="127"/>
      <c r="I19" s="127"/>
      <c r="J19" s="243"/>
      <c r="K19" s="243">
        <f t="shared" si="4"/>
        <v>0</v>
      </c>
      <c r="L19" s="243">
        <f t="shared" si="5"/>
        <v>0</v>
      </c>
      <c r="M19" s="243">
        <f t="shared" si="34"/>
        <v>0</v>
      </c>
      <c r="N19" s="129"/>
      <c r="O19" s="128"/>
      <c r="P19" s="129"/>
      <c r="U19" s="223">
        <f>'Gefestigte LG'!BE16</f>
        <v>0</v>
      </c>
      <c r="V19" s="223">
        <f t="shared" si="13"/>
        <v>0</v>
      </c>
      <c r="W19" s="235">
        <f t="shared" si="14"/>
        <v>0</v>
      </c>
      <c r="X19" s="236">
        <f t="shared" si="15"/>
        <v>0</v>
      </c>
      <c r="Y19" s="236">
        <f t="shared" si="16"/>
        <v>0</v>
      </c>
      <c r="Z19" s="236">
        <f t="shared" si="6"/>
        <v>0</v>
      </c>
      <c r="AA19" s="236"/>
      <c r="AB19" s="236">
        <f t="shared" si="17"/>
        <v>0</v>
      </c>
      <c r="AC19" s="236">
        <f t="shared" si="18"/>
        <v>0</v>
      </c>
      <c r="AD19" s="236">
        <f t="shared" si="7"/>
        <v>0</v>
      </c>
      <c r="AE19" s="236">
        <f t="shared" si="19"/>
        <v>0</v>
      </c>
      <c r="AF19" s="236">
        <f t="shared" si="8"/>
        <v>0</v>
      </c>
      <c r="AG19" s="223">
        <f t="shared" si="20"/>
        <v>0</v>
      </c>
      <c r="AH19" s="244">
        <f t="shared" si="9"/>
        <v>0</v>
      </c>
      <c r="AI19" s="223">
        <f t="shared" si="10"/>
        <v>0</v>
      </c>
      <c r="AJ19" s="223">
        <f t="shared" si="11"/>
        <v>0</v>
      </c>
      <c r="AL19" s="223">
        <f t="shared" si="21"/>
        <v>0</v>
      </c>
      <c r="AM19" s="223">
        <f t="shared" si="22"/>
        <v>0</v>
      </c>
      <c r="AN19" s="223">
        <f t="shared" si="23"/>
        <v>0</v>
      </c>
      <c r="AO19" s="223">
        <f t="shared" si="24"/>
        <v>0</v>
      </c>
      <c r="AP19" s="223">
        <f t="shared" si="25"/>
        <v>0</v>
      </c>
      <c r="AQ19" s="223">
        <f t="shared" si="26"/>
        <v>0</v>
      </c>
      <c r="AR19" s="116">
        <v>4207</v>
      </c>
      <c r="AS19" s="115" t="s">
        <v>173</v>
      </c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228">
        <f t="shared" si="1"/>
        <v>0</v>
      </c>
      <c r="BF19" s="228">
        <f t="shared" si="2"/>
        <v>0</v>
      </c>
      <c r="BG19" s="228">
        <f t="shared" si="3"/>
        <v>0</v>
      </c>
      <c r="BH19" s="228">
        <f t="shared" si="0"/>
        <v>0</v>
      </c>
      <c r="BI19" s="223">
        <f t="shared" si="27"/>
        <v>0</v>
      </c>
      <c r="BJ19" s="223">
        <f t="shared" si="28"/>
        <v>0</v>
      </c>
      <c r="BK19" s="223" t="str">
        <f t="shared" si="29"/>
        <v/>
      </c>
      <c r="BL19" s="223">
        <f t="shared" si="30"/>
        <v>0</v>
      </c>
      <c r="BM19" s="223">
        <f t="shared" si="31"/>
        <v>0</v>
      </c>
      <c r="BN19" s="223">
        <f t="shared" si="32"/>
        <v>0</v>
      </c>
      <c r="BO19" s="223">
        <f t="shared" si="33"/>
        <v>0</v>
      </c>
      <c r="BR19" s="223"/>
    </row>
    <row r="20" spans="2:70" x14ac:dyDescent="0.25">
      <c r="B20" s="124"/>
      <c r="C20" s="127"/>
      <c r="D20" s="126"/>
      <c r="E20" s="126"/>
      <c r="F20" s="127"/>
      <c r="G20" s="127"/>
      <c r="H20" s="127"/>
      <c r="I20" s="127"/>
      <c r="J20" s="243"/>
      <c r="K20" s="243">
        <f t="shared" si="4"/>
        <v>0</v>
      </c>
      <c r="L20" s="243">
        <f t="shared" si="5"/>
        <v>0</v>
      </c>
      <c r="M20" s="243">
        <f t="shared" si="34"/>
        <v>0</v>
      </c>
      <c r="N20" s="129"/>
      <c r="O20" s="128"/>
      <c r="P20" s="129"/>
      <c r="U20" s="223">
        <f>'Gefestigte LG'!BE17</f>
        <v>0</v>
      </c>
      <c r="V20" s="223">
        <f t="shared" si="13"/>
        <v>0</v>
      </c>
      <c r="W20" s="235">
        <f t="shared" si="14"/>
        <v>0</v>
      </c>
      <c r="X20" s="236">
        <f t="shared" si="15"/>
        <v>0</v>
      </c>
      <c r="Y20" s="236">
        <f t="shared" si="16"/>
        <v>0</v>
      </c>
      <c r="Z20" s="236">
        <f t="shared" si="6"/>
        <v>0</v>
      </c>
      <c r="AA20" s="236"/>
      <c r="AB20" s="236">
        <f t="shared" si="17"/>
        <v>0</v>
      </c>
      <c r="AC20" s="236">
        <f t="shared" si="18"/>
        <v>0</v>
      </c>
      <c r="AD20" s="236">
        <f t="shared" si="7"/>
        <v>0</v>
      </c>
      <c r="AE20" s="236">
        <f t="shared" si="19"/>
        <v>0</v>
      </c>
      <c r="AF20" s="236">
        <f t="shared" si="8"/>
        <v>0</v>
      </c>
      <c r="AG20" s="223">
        <f t="shared" si="20"/>
        <v>0</v>
      </c>
      <c r="AH20" s="244">
        <f t="shared" si="9"/>
        <v>0</v>
      </c>
      <c r="AI20" s="223">
        <f t="shared" si="10"/>
        <v>0</v>
      </c>
      <c r="AJ20" s="223">
        <f t="shared" si="11"/>
        <v>0</v>
      </c>
      <c r="AL20" s="223">
        <f t="shared" si="21"/>
        <v>0</v>
      </c>
      <c r="AM20" s="223">
        <f t="shared" si="22"/>
        <v>0</v>
      </c>
      <c r="AN20" s="223">
        <f t="shared" si="23"/>
        <v>0</v>
      </c>
      <c r="AO20" s="223">
        <f t="shared" si="24"/>
        <v>0</v>
      </c>
      <c r="AP20" s="223">
        <f t="shared" si="25"/>
        <v>0</v>
      </c>
      <c r="AQ20" s="223">
        <f t="shared" si="26"/>
        <v>0</v>
      </c>
      <c r="AR20" s="116">
        <v>4225</v>
      </c>
      <c r="AS20" s="117" t="s">
        <v>174</v>
      </c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228">
        <f t="shared" si="1"/>
        <v>0</v>
      </c>
      <c r="BF20" s="228">
        <f t="shared" si="2"/>
        <v>0</v>
      </c>
      <c r="BG20" s="228">
        <f t="shared" si="3"/>
        <v>0</v>
      </c>
      <c r="BH20" s="228">
        <f t="shared" si="0"/>
        <v>0</v>
      </c>
      <c r="BI20" s="223">
        <f t="shared" si="27"/>
        <v>0</v>
      </c>
      <c r="BJ20" s="223">
        <f t="shared" si="28"/>
        <v>0</v>
      </c>
      <c r="BK20" s="223" t="str">
        <f t="shared" si="29"/>
        <v/>
      </c>
      <c r="BL20" s="223">
        <f t="shared" si="30"/>
        <v>0</v>
      </c>
      <c r="BM20" s="223">
        <f t="shared" si="31"/>
        <v>0</v>
      </c>
      <c r="BN20" s="223">
        <f t="shared" si="32"/>
        <v>0</v>
      </c>
      <c r="BO20" s="223">
        <f t="shared" si="33"/>
        <v>0</v>
      </c>
      <c r="BR20" s="223"/>
    </row>
    <row r="21" spans="2:70" x14ac:dyDescent="0.25">
      <c r="B21" s="124"/>
      <c r="C21" s="127"/>
      <c r="D21" s="126"/>
      <c r="E21" s="126"/>
      <c r="F21" s="127"/>
      <c r="G21" s="127"/>
      <c r="H21" s="127"/>
      <c r="I21" s="127"/>
      <c r="J21" s="243"/>
      <c r="K21" s="243">
        <f t="shared" si="4"/>
        <v>0</v>
      </c>
      <c r="L21" s="243">
        <f t="shared" si="5"/>
        <v>0</v>
      </c>
      <c r="M21" s="243">
        <f t="shared" si="34"/>
        <v>0</v>
      </c>
      <c r="N21" s="129"/>
      <c r="O21" s="128"/>
      <c r="P21" s="129"/>
      <c r="U21" s="223">
        <f>'Gefestigte LG'!BE18</f>
        <v>0</v>
      </c>
      <c r="V21" s="223">
        <f t="shared" si="13"/>
        <v>0</v>
      </c>
      <c r="W21" s="235">
        <f t="shared" si="14"/>
        <v>0</v>
      </c>
      <c r="X21" s="236">
        <f t="shared" si="15"/>
        <v>0</v>
      </c>
      <c r="Y21" s="236">
        <f t="shared" si="16"/>
        <v>0</v>
      </c>
      <c r="Z21" s="236">
        <f t="shared" si="6"/>
        <v>0</v>
      </c>
      <c r="AA21" s="236"/>
      <c r="AB21" s="236">
        <f t="shared" si="17"/>
        <v>0</v>
      </c>
      <c r="AC21" s="236">
        <f t="shared" si="18"/>
        <v>0</v>
      </c>
      <c r="AD21" s="236">
        <f t="shared" si="7"/>
        <v>0</v>
      </c>
      <c r="AE21" s="236">
        <f t="shared" si="19"/>
        <v>0</v>
      </c>
      <c r="AF21" s="236">
        <f t="shared" si="8"/>
        <v>0</v>
      </c>
      <c r="AG21" s="223">
        <f t="shared" si="20"/>
        <v>0</v>
      </c>
      <c r="AH21" s="244">
        <f t="shared" si="9"/>
        <v>0</v>
      </c>
      <c r="AI21" s="223">
        <f t="shared" si="10"/>
        <v>0</v>
      </c>
      <c r="AJ21" s="223">
        <f t="shared" si="11"/>
        <v>0</v>
      </c>
      <c r="AL21" s="223">
        <f t="shared" si="21"/>
        <v>0</v>
      </c>
      <c r="AM21" s="223">
        <f t="shared" si="22"/>
        <v>0</v>
      </c>
      <c r="AN21" s="223">
        <f t="shared" si="23"/>
        <v>0</v>
      </c>
      <c r="AO21" s="223">
        <f t="shared" si="24"/>
        <v>0</v>
      </c>
      <c r="AP21" s="223">
        <f t="shared" si="25"/>
        <v>0</v>
      </c>
      <c r="AQ21" s="223">
        <f t="shared" si="26"/>
        <v>0</v>
      </c>
      <c r="AR21" s="116">
        <v>4416</v>
      </c>
      <c r="AS21" s="115" t="s">
        <v>175</v>
      </c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228">
        <f t="shared" si="1"/>
        <v>0</v>
      </c>
      <c r="BF21" s="228">
        <f t="shared" si="2"/>
        <v>0</v>
      </c>
      <c r="BG21" s="228">
        <f t="shared" si="3"/>
        <v>0</v>
      </c>
      <c r="BH21" s="228">
        <f t="shared" si="0"/>
        <v>0</v>
      </c>
      <c r="BI21" s="223">
        <f t="shared" si="27"/>
        <v>0</v>
      </c>
      <c r="BJ21" s="223">
        <f t="shared" si="28"/>
        <v>0</v>
      </c>
      <c r="BK21" s="223" t="str">
        <f t="shared" si="29"/>
        <v/>
      </c>
      <c r="BL21" s="223">
        <f t="shared" si="30"/>
        <v>0</v>
      </c>
      <c r="BM21" s="223">
        <f t="shared" si="31"/>
        <v>0</v>
      </c>
      <c r="BN21" s="223">
        <f t="shared" si="32"/>
        <v>0</v>
      </c>
      <c r="BO21" s="223">
        <f t="shared" si="33"/>
        <v>0</v>
      </c>
      <c r="BR21" s="223"/>
    </row>
    <row r="22" spans="2:70" x14ac:dyDescent="0.25">
      <c r="B22" s="124"/>
      <c r="C22" s="127"/>
      <c r="D22" s="126"/>
      <c r="E22" s="126"/>
      <c r="F22" s="127"/>
      <c r="G22" s="127"/>
      <c r="H22" s="127"/>
      <c r="I22" s="127"/>
      <c r="J22" s="243"/>
      <c r="K22" s="243">
        <f t="shared" si="4"/>
        <v>0</v>
      </c>
      <c r="L22" s="243">
        <f t="shared" si="5"/>
        <v>0</v>
      </c>
      <c r="M22" s="243">
        <f t="shared" si="34"/>
        <v>0</v>
      </c>
      <c r="N22" s="129"/>
      <c r="O22" s="128"/>
      <c r="P22" s="129"/>
      <c r="U22" s="223">
        <f>'Gefestigte LG'!BE19</f>
        <v>0</v>
      </c>
      <c r="V22" s="223">
        <f t="shared" si="13"/>
        <v>0</v>
      </c>
      <c r="W22" s="235">
        <f t="shared" si="14"/>
        <v>0</v>
      </c>
      <c r="X22" s="236">
        <f t="shared" si="15"/>
        <v>0</v>
      </c>
      <c r="Y22" s="236">
        <f t="shared" si="16"/>
        <v>0</v>
      </c>
      <c r="Z22" s="236">
        <f t="shared" si="6"/>
        <v>0</v>
      </c>
      <c r="AA22" s="236"/>
      <c r="AB22" s="236">
        <f t="shared" si="17"/>
        <v>0</v>
      </c>
      <c r="AC22" s="236">
        <f t="shared" si="18"/>
        <v>0</v>
      </c>
      <c r="AD22" s="236">
        <f t="shared" si="7"/>
        <v>0</v>
      </c>
      <c r="AE22" s="236">
        <f t="shared" si="19"/>
        <v>0</v>
      </c>
      <c r="AF22" s="236">
        <f t="shared" si="8"/>
        <v>0</v>
      </c>
      <c r="AG22" s="223">
        <f t="shared" si="20"/>
        <v>0</v>
      </c>
      <c r="AH22" s="244">
        <f t="shared" si="9"/>
        <v>0</v>
      </c>
      <c r="AI22" s="223">
        <f t="shared" si="10"/>
        <v>0</v>
      </c>
      <c r="AJ22" s="223">
        <f t="shared" si="11"/>
        <v>0</v>
      </c>
      <c r="AL22" s="223">
        <f t="shared" si="21"/>
        <v>0</v>
      </c>
      <c r="AM22" s="223">
        <f t="shared" si="22"/>
        <v>0</v>
      </c>
      <c r="AN22" s="223">
        <f t="shared" si="23"/>
        <v>0</v>
      </c>
      <c r="AO22" s="223">
        <f t="shared" si="24"/>
        <v>0</v>
      </c>
      <c r="AP22" s="223">
        <f t="shared" si="25"/>
        <v>0</v>
      </c>
      <c r="AQ22" s="223">
        <f t="shared" si="26"/>
        <v>0</v>
      </c>
      <c r="AR22" s="116">
        <v>4446</v>
      </c>
      <c r="AS22" s="115" t="s">
        <v>176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228">
        <f t="shared" si="1"/>
        <v>0</v>
      </c>
      <c r="BF22" s="228">
        <f t="shared" si="2"/>
        <v>0</v>
      </c>
      <c r="BG22" s="228">
        <f t="shared" si="3"/>
        <v>0</v>
      </c>
      <c r="BH22" s="228">
        <f t="shared" si="0"/>
        <v>0</v>
      </c>
      <c r="BI22" s="223">
        <f t="shared" si="27"/>
        <v>0</v>
      </c>
      <c r="BJ22" s="223">
        <f t="shared" si="28"/>
        <v>0</v>
      </c>
      <c r="BK22" s="223" t="str">
        <f t="shared" si="29"/>
        <v/>
      </c>
      <c r="BL22" s="223">
        <f t="shared" si="30"/>
        <v>0</v>
      </c>
      <c r="BM22" s="223">
        <f t="shared" si="31"/>
        <v>0</v>
      </c>
      <c r="BN22" s="223">
        <f t="shared" si="32"/>
        <v>0</v>
      </c>
      <c r="BO22" s="223">
        <f t="shared" si="33"/>
        <v>0</v>
      </c>
      <c r="BR22" s="223"/>
    </row>
    <row r="23" spans="2:70" x14ac:dyDescent="0.25">
      <c r="B23" s="124"/>
      <c r="C23" s="127"/>
      <c r="D23" s="126"/>
      <c r="E23" s="126"/>
      <c r="F23" s="127"/>
      <c r="G23" s="127"/>
      <c r="H23" s="127"/>
      <c r="I23" s="127"/>
      <c r="J23" s="243"/>
      <c r="K23" s="243">
        <f t="shared" si="4"/>
        <v>0</v>
      </c>
      <c r="L23" s="243">
        <f t="shared" si="5"/>
        <v>0</v>
      </c>
      <c r="M23" s="243">
        <f t="shared" si="34"/>
        <v>0</v>
      </c>
      <c r="N23" s="129"/>
      <c r="O23" s="128"/>
      <c r="P23" s="129"/>
      <c r="U23" s="223">
        <f>'Gefestigte LG'!BE20</f>
        <v>0</v>
      </c>
      <c r="V23" s="223">
        <f t="shared" si="13"/>
        <v>0</v>
      </c>
      <c r="W23" s="235">
        <f t="shared" si="14"/>
        <v>0</v>
      </c>
      <c r="X23" s="236">
        <f t="shared" si="15"/>
        <v>0</v>
      </c>
      <c r="Y23" s="236">
        <f t="shared" si="16"/>
        <v>0</v>
      </c>
      <c r="Z23" s="236">
        <f t="shared" si="6"/>
        <v>0</v>
      </c>
      <c r="AA23" s="236"/>
      <c r="AB23" s="236">
        <f t="shared" si="17"/>
        <v>0</v>
      </c>
      <c r="AC23" s="236">
        <f t="shared" si="18"/>
        <v>0</v>
      </c>
      <c r="AD23" s="236">
        <f t="shared" si="7"/>
        <v>0</v>
      </c>
      <c r="AE23" s="236">
        <f t="shared" si="19"/>
        <v>0</v>
      </c>
      <c r="AF23" s="236">
        <f t="shared" si="8"/>
        <v>0</v>
      </c>
      <c r="AG23" s="223">
        <f t="shared" si="20"/>
        <v>0</v>
      </c>
      <c r="AH23" s="244">
        <f t="shared" si="9"/>
        <v>0</v>
      </c>
      <c r="AI23" s="223">
        <f t="shared" si="10"/>
        <v>0</v>
      </c>
      <c r="AJ23" s="223">
        <f t="shared" si="11"/>
        <v>0</v>
      </c>
      <c r="AL23" s="223">
        <f t="shared" si="21"/>
        <v>0</v>
      </c>
      <c r="AM23" s="223">
        <f t="shared" si="22"/>
        <v>0</v>
      </c>
      <c r="AN23" s="223">
        <f t="shared" si="23"/>
        <v>0</v>
      </c>
      <c r="AO23" s="223">
        <f t="shared" si="24"/>
        <v>0</v>
      </c>
      <c r="AP23" s="223">
        <f t="shared" si="25"/>
        <v>0</v>
      </c>
      <c r="AQ23" s="223">
        <f t="shared" si="26"/>
        <v>0</v>
      </c>
      <c r="AR23" s="116">
        <v>4117</v>
      </c>
      <c r="AS23" s="115" t="s">
        <v>177</v>
      </c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228">
        <f t="shared" si="1"/>
        <v>0</v>
      </c>
      <c r="BF23" s="228">
        <f t="shared" si="2"/>
        <v>0</v>
      </c>
      <c r="BG23" s="228">
        <f t="shared" si="3"/>
        <v>0</v>
      </c>
      <c r="BH23" s="228">
        <f t="shared" si="0"/>
        <v>0</v>
      </c>
      <c r="BI23" s="223">
        <f t="shared" si="27"/>
        <v>0</v>
      </c>
      <c r="BJ23" s="223">
        <f t="shared" si="28"/>
        <v>0</v>
      </c>
      <c r="BK23" s="223" t="str">
        <f t="shared" si="29"/>
        <v/>
      </c>
      <c r="BL23" s="223">
        <f t="shared" si="30"/>
        <v>0</v>
      </c>
      <c r="BM23" s="223">
        <f t="shared" si="31"/>
        <v>0</v>
      </c>
      <c r="BN23" s="223">
        <f t="shared" si="32"/>
        <v>0</v>
      </c>
      <c r="BO23" s="223">
        <f t="shared" si="33"/>
        <v>0</v>
      </c>
      <c r="BR23" s="223"/>
    </row>
    <row r="24" spans="2:70" x14ac:dyDescent="0.25">
      <c r="B24" s="124"/>
      <c r="C24" s="127"/>
      <c r="D24" s="126"/>
      <c r="E24" s="126"/>
      <c r="F24" s="127"/>
      <c r="G24" s="127"/>
      <c r="H24" s="127"/>
      <c r="I24" s="127"/>
      <c r="J24" s="243"/>
      <c r="K24" s="243">
        <f t="shared" si="4"/>
        <v>0</v>
      </c>
      <c r="L24" s="243">
        <f t="shared" si="5"/>
        <v>0</v>
      </c>
      <c r="M24" s="243">
        <f t="shared" si="34"/>
        <v>0</v>
      </c>
      <c r="N24" s="129"/>
      <c r="O24" s="128"/>
      <c r="P24" s="129"/>
      <c r="U24" s="223">
        <f>'Gefestigte LG'!BE21</f>
        <v>0</v>
      </c>
      <c r="V24" s="223">
        <f t="shared" si="13"/>
        <v>0</v>
      </c>
      <c r="W24" s="235">
        <f t="shared" si="14"/>
        <v>0</v>
      </c>
      <c r="X24" s="236">
        <f t="shared" si="15"/>
        <v>0</v>
      </c>
      <c r="Y24" s="236">
        <f t="shared" si="16"/>
        <v>0</v>
      </c>
      <c r="Z24" s="236">
        <f t="shared" si="6"/>
        <v>0</v>
      </c>
      <c r="AA24" s="236"/>
      <c r="AB24" s="236">
        <f t="shared" si="17"/>
        <v>0</v>
      </c>
      <c r="AC24" s="236">
        <f t="shared" si="18"/>
        <v>0</v>
      </c>
      <c r="AD24" s="236">
        <f t="shared" si="7"/>
        <v>0</v>
      </c>
      <c r="AE24" s="236">
        <f t="shared" si="19"/>
        <v>0</v>
      </c>
      <c r="AF24" s="236">
        <f t="shared" si="8"/>
        <v>0</v>
      </c>
      <c r="AG24" s="223">
        <f t="shared" ca="1" si="20"/>
        <v>0</v>
      </c>
      <c r="AH24" s="244">
        <f t="shared" si="9"/>
        <v>0</v>
      </c>
      <c r="AI24" s="223">
        <f t="shared" si="10"/>
        <v>0</v>
      </c>
      <c r="AJ24" s="223">
        <f t="shared" si="11"/>
        <v>0</v>
      </c>
      <c r="AL24" s="223">
        <f t="shared" si="21"/>
        <v>0</v>
      </c>
      <c r="AM24" s="223">
        <f t="shared" si="22"/>
        <v>0</v>
      </c>
      <c r="AN24" s="223">
        <f t="shared" si="23"/>
        <v>0</v>
      </c>
      <c r="AO24" s="223">
        <f t="shared" si="24"/>
        <v>0</v>
      </c>
      <c r="AP24" s="223">
        <f t="shared" si="25"/>
        <v>0</v>
      </c>
      <c r="AQ24" s="223">
        <f t="shared" si="26"/>
        <v>0</v>
      </c>
      <c r="AR24" s="116">
        <v>4463</v>
      </c>
      <c r="AS24" s="115" t="s">
        <v>178</v>
      </c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228">
        <f t="shared" si="1"/>
        <v>0</v>
      </c>
      <c r="BF24" s="228">
        <f t="shared" si="2"/>
        <v>0</v>
      </c>
      <c r="BG24" s="228">
        <f t="shared" si="3"/>
        <v>0</v>
      </c>
      <c r="BH24" s="228">
        <f t="shared" si="0"/>
        <v>0</v>
      </c>
      <c r="BI24" s="223">
        <f t="shared" si="27"/>
        <v>0</v>
      </c>
      <c r="BJ24" s="223">
        <f t="shared" si="28"/>
        <v>0</v>
      </c>
      <c r="BK24" s="223" t="str">
        <f t="shared" si="29"/>
        <v/>
      </c>
      <c r="BL24" s="223">
        <f t="shared" si="30"/>
        <v>0</v>
      </c>
      <c r="BM24" s="223">
        <f t="shared" si="31"/>
        <v>0</v>
      </c>
      <c r="BN24" s="223">
        <f t="shared" si="32"/>
        <v>0</v>
      </c>
      <c r="BO24" s="223">
        <f t="shared" si="33"/>
        <v>0</v>
      </c>
      <c r="BR24" s="223"/>
    </row>
    <row r="25" spans="2:70" hidden="1" x14ac:dyDescent="0.25">
      <c r="C25" s="222">
        <f>COUNTIF(C13:C24,"&gt;&gt;0")</f>
        <v>0</v>
      </c>
      <c r="D25" s="222">
        <f>COUNTIF(D13:D24,"&gt;0")</f>
        <v>0</v>
      </c>
      <c r="F25" s="222">
        <f>COUNTIF(F13:F24,"=x")</f>
        <v>0</v>
      </c>
      <c r="G25" s="222">
        <f t="shared" ref="G25:J25" si="35">COUNTIF(G13:G24,"=x")</f>
        <v>0</v>
      </c>
      <c r="H25" s="222">
        <f t="shared" si="35"/>
        <v>0</v>
      </c>
      <c r="I25" s="222">
        <f t="shared" si="35"/>
        <v>0</v>
      </c>
      <c r="J25" s="222">
        <f t="shared" si="35"/>
        <v>0</v>
      </c>
      <c r="M25" s="222">
        <f t="shared" ref="M25" si="36">COUNTIF(M13:M24,"=x")</f>
        <v>0</v>
      </c>
      <c r="N25" s="222">
        <f>COUNTIF(N13:N24,"=x")</f>
        <v>0</v>
      </c>
      <c r="O25" s="222">
        <f>COUNTIF(O13:O24,"&gt;0")</f>
        <v>0</v>
      </c>
      <c r="W25" s="245">
        <f>SUM(W13:W24)+J32</f>
        <v>0</v>
      </c>
      <c r="X25" s="245">
        <f>SUM(X13:X24)+K32</f>
        <v>0</v>
      </c>
      <c r="Y25" s="246">
        <f>SUM(Y13:Y24)</f>
        <v>0</v>
      </c>
      <c r="Z25" s="246">
        <f>SUM(Z13:Z24)</f>
        <v>0</v>
      </c>
      <c r="AA25" s="246"/>
      <c r="AB25" s="246">
        <f t="shared" ref="AB25:AG25" si="37">SUM(AB13:AB24)</f>
        <v>0</v>
      </c>
      <c r="AC25" s="246">
        <f t="shared" si="37"/>
        <v>0</v>
      </c>
      <c r="AD25" s="246">
        <f t="shared" si="37"/>
        <v>0</v>
      </c>
      <c r="AE25" s="246">
        <f t="shared" si="37"/>
        <v>0</v>
      </c>
      <c r="AF25" s="247">
        <f t="shared" si="37"/>
        <v>0</v>
      </c>
      <c r="AG25" s="247">
        <f t="shared" ca="1" si="37"/>
        <v>0</v>
      </c>
      <c r="AH25" s="223"/>
      <c r="AI25" s="223"/>
      <c r="AJ25" s="223"/>
      <c r="AL25" s="242">
        <f>SUM(AL13:AM24)</f>
        <v>0</v>
      </c>
      <c r="AM25" s="242">
        <f>SUM(AM13:AM24)</f>
        <v>0</v>
      </c>
      <c r="AN25" s="242">
        <f t="shared" ref="AN25:AQ25" si="38">SUM(AN13:AN24)</f>
        <v>0</v>
      </c>
      <c r="AO25" s="242">
        <f t="shared" si="38"/>
        <v>0</v>
      </c>
      <c r="AP25" s="242">
        <f t="shared" si="38"/>
        <v>0</v>
      </c>
      <c r="AQ25" s="242">
        <f t="shared" si="38"/>
        <v>0</v>
      </c>
      <c r="AR25" s="116">
        <v>4457</v>
      </c>
      <c r="AS25" s="115" t="s">
        <v>179</v>
      </c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228">
        <f t="shared" si="1"/>
        <v>0</v>
      </c>
      <c r="BF25" s="228">
        <f t="shared" si="2"/>
        <v>0</v>
      </c>
      <c r="BG25" s="228">
        <f t="shared" si="3"/>
        <v>0</v>
      </c>
      <c r="BH25" s="228">
        <f>IF(AND(AY25&lt;&gt;0,AZ25&lt;&gt;0,J23&lt;&gt;0),AZ25,0)</f>
        <v>0</v>
      </c>
      <c r="BI25" s="223">
        <f t="shared" si="27"/>
        <v>0</v>
      </c>
    </row>
    <row r="26" spans="2:70" x14ac:dyDescent="0.25">
      <c r="B26" s="229">
        <f ca="1">'Übersicht KVG'!J32</f>
        <v>0</v>
      </c>
      <c r="C26" s="229"/>
      <c r="W26" s="235" t="s">
        <v>133</v>
      </c>
      <c r="X26" s="236"/>
      <c r="Y26" s="290"/>
      <c r="Z26" s="290"/>
      <c r="AA26" s="290"/>
      <c r="AB26" s="290"/>
      <c r="AC26" s="290"/>
      <c r="AD26" s="290"/>
      <c r="AE26" s="290"/>
      <c r="AF26" s="245"/>
      <c r="AG26" s="291"/>
      <c r="AH26" s="223"/>
      <c r="AI26" s="223"/>
      <c r="AJ26" s="223"/>
      <c r="AL26" s="242"/>
      <c r="AR26" s="116"/>
      <c r="AS26" s="115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228"/>
      <c r="BF26" s="228"/>
      <c r="BG26" s="228"/>
      <c r="BH26" s="228"/>
    </row>
    <row r="27" spans="2:70" x14ac:dyDescent="0.25">
      <c r="B27" s="248"/>
      <c r="C27" s="248"/>
      <c r="D27" s="249"/>
      <c r="O27" s="250" t="s">
        <v>320</v>
      </c>
      <c r="R27" s="135"/>
      <c r="W27" s="251"/>
      <c r="X27" s="252"/>
      <c r="Y27" s="253" t="s">
        <v>48</v>
      </c>
      <c r="Z27" s="253" t="s">
        <v>51</v>
      </c>
      <c r="AA27" s="253"/>
      <c r="AB27" s="253" t="s">
        <v>52</v>
      </c>
      <c r="AC27" s="253" t="s">
        <v>54</v>
      </c>
      <c r="AD27" s="253" t="s">
        <v>55</v>
      </c>
      <c r="AE27" s="254" t="s">
        <v>62</v>
      </c>
      <c r="AF27" s="255" t="s">
        <v>63</v>
      </c>
      <c r="AH27" s="223"/>
      <c r="AI27" s="223"/>
      <c r="AJ27" s="223"/>
      <c r="AR27" s="116">
        <v>4442</v>
      </c>
      <c r="AS27" s="115" t="s">
        <v>180</v>
      </c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228">
        <f t="shared" si="1"/>
        <v>0</v>
      </c>
      <c r="BF27" s="228">
        <f t="shared" si="2"/>
        <v>0</v>
      </c>
      <c r="BG27" s="228">
        <f t="shared" si="3"/>
        <v>0</v>
      </c>
      <c r="BH27" s="228">
        <f>IF(AND(AY27&lt;&gt;0,AZ27&lt;&gt;0,J24&lt;&gt;0),AZ27,0)</f>
        <v>0</v>
      </c>
    </row>
    <row r="28" spans="2:70" x14ac:dyDescent="0.25">
      <c r="B28" s="222" t="s">
        <v>30</v>
      </c>
      <c r="D28" s="130"/>
      <c r="E28" s="256"/>
      <c r="F28" s="257"/>
      <c r="O28" s="250"/>
      <c r="AD28" s="108"/>
      <c r="AE28" s="108"/>
      <c r="AF28" s="108"/>
      <c r="AH28" s="223"/>
      <c r="AI28" s="223"/>
      <c r="AJ28" s="223"/>
      <c r="AR28" s="116">
        <v>4243</v>
      </c>
      <c r="AS28" s="115" t="s">
        <v>181</v>
      </c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228">
        <f t="shared" si="1"/>
        <v>0</v>
      </c>
      <c r="BF28" s="228">
        <f t="shared" si="2"/>
        <v>0</v>
      </c>
      <c r="BG28" s="228">
        <f t="shared" si="3"/>
        <v>0</v>
      </c>
      <c r="BH28" s="228">
        <f>IF(AND(AY28&lt;&gt;0,AZ28&lt;&gt;0,J25&lt;&gt;0),AZ28,0)</f>
        <v>0</v>
      </c>
    </row>
    <row r="29" spans="2:70" x14ac:dyDescent="0.25">
      <c r="B29" s="222" t="s">
        <v>365</v>
      </c>
      <c r="D29" s="130"/>
      <c r="E29" s="256"/>
      <c r="F29" s="257"/>
      <c r="O29" s="250" t="s">
        <v>554</v>
      </c>
      <c r="R29" s="135"/>
      <c r="W29" s="223" t="s">
        <v>67</v>
      </c>
      <c r="AD29" s="108"/>
      <c r="AE29" s="108"/>
      <c r="AF29" s="108"/>
      <c r="AH29" s="223"/>
      <c r="AI29" s="223"/>
      <c r="AJ29" s="223"/>
      <c r="AR29" s="116">
        <v>4202</v>
      </c>
      <c r="AS29" s="117" t="s">
        <v>182</v>
      </c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228">
        <f t="shared" si="1"/>
        <v>0</v>
      </c>
      <c r="BF29" s="228">
        <f t="shared" si="2"/>
        <v>0</v>
      </c>
      <c r="BG29" s="228">
        <f t="shared" si="3"/>
        <v>0</v>
      </c>
      <c r="BH29" s="228">
        <f t="shared" si="0"/>
        <v>0</v>
      </c>
    </row>
    <row r="30" spans="2:70" x14ac:dyDescent="0.25">
      <c r="B30" s="222" t="s">
        <v>366</v>
      </c>
      <c r="D30" s="130"/>
      <c r="E30" s="256"/>
      <c r="F30" s="257"/>
      <c r="G30" s="222" t="s">
        <v>367</v>
      </c>
      <c r="O30" s="250" t="s">
        <v>68</v>
      </c>
      <c r="Q30" s="128"/>
      <c r="R30" s="135"/>
      <c r="S30" s="222" t="s">
        <v>552</v>
      </c>
      <c r="AR30" s="116">
        <v>4458</v>
      </c>
      <c r="AS30" s="115" t="s">
        <v>183</v>
      </c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228">
        <f t="shared" si="1"/>
        <v>0</v>
      </c>
      <c r="BF30" s="228">
        <f t="shared" si="2"/>
        <v>0</v>
      </c>
      <c r="BG30" s="228">
        <f t="shared" si="3"/>
        <v>0</v>
      </c>
      <c r="BH30" s="228">
        <f t="shared" si="0"/>
        <v>0</v>
      </c>
    </row>
    <row r="31" spans="2:70" x14ac:dyDescent="0.25">
      <c r="O31" s="250" t="s">
        <v>323</v>
      </c>
      <c r="Q31" s="128"/>
      <c r="R31" s="135"/>
      <c r="S31" s="222" t="s">
        <v>552</v>
      </c>
      <c r="W31" s="223" t="s">
        <v>102</v>
      </c>
      <c r="X31" s="223"/>
      <c r="Y31" s="223"/>
      <c r="Z31" s="223"/>
      <c r="AA31" s="223"/>
      <c r="AG31" s="108">
        <f ca="1">AG25</f>
        <v>0</v>
      </c>
      <c r="AR31" s="116">
        <v>4107</v>
      </c>
      <c r="AS31" s="115" t="s">
        <v>184</v>
      </c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228">
        <f t="shared" si="1"/>
        <v>0</v>
      </c>
      <c r="BF31" s="228">
        <f t="shared" si="2"/>
        <v>0</v>
      </c>
      <c r="BG31" s="228">
        <f t="shared" si="3"/>
        <v>0</v>
      </c>
      <c r="BH31" s="228">
        <f t="shared" si="0"/>
        <v>0</v>
      </c>
    </row>
    <row r="32" spans="2:70" x14ac:dyDescent="0.25">
      <c r="B32" s="222" t="s">
        <v>37</v>
      </c>
      <c r="J32" s="131"/>
      <c r="O32" s="250"/>
      <c r="AR32" s="116">
        <v>4402</v>
      </c>
      <c r="AS32" s="115" t="s">
        <v>185</v>
      </c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228">
        <f t="shared" si="1"/>
        <v>0</v>
      </c>
      <c r="BF32" s="228">
        <f t="shared" si="2"/>
        <v>0</v>
      </c>
      <c r="BG32" s="228">
        <f t="shared" si="3"/>
        <v>0</v>
      </c>
      <c r="BH32" s="228">
        <f t="shared" si="0"/>
        <v>0</v>
      </c>
    </row>
    <row r="33" spans="2:60" x14ac:dyDescent="0.25">
      <c r="O33" s="250" t="s">
        <v>39</v>
      </c>
      <c r="R33" s="135"/>
      <c r="T33" s="258"/>
      <c r="AR33" s="116">
        <v>4414</v>
      </c>
      <c r="AS33" s="115" t="s">
        <v>186</v>
      </c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228">
        <f t="shared" si="1"/>
        <v>0</v>
      </c>
      <c r="BF33" s="228">
        <f t="shared" si="2"/>
        <v>0</v>
      </c>
      <c r="BG33" s="228">
        <f t="shared" si="3"/>
        <v>0</v>
      </c>
      <c r="BH33" s="228">
        <f t="shared" ref="BH33:BH38" si="39">IF(AND(AY33&lt;&gt;0,AZ33&lt;&gt;0,J32&lt;&gt;0),AZ33,0)</f>
        <v>0</v>
      </c>
    </row>
    <row r="34" spans="2:60" x14ac:dyDescent="0.25">
      <c r="B34" s="222" t="s">
        <v>146</v>
      </c>
      <c r="L34" s="259"/>
      <c r="O34" s="250"/>
      <c r="Q34" s="222" t="s">
        <v>98</v>
      </c>
      <c r="S34" s="222" t="s">
        <v>29</v>
      </c>
      <c r="T34" s="260"/>
      <c r="W34" s="223" t="s">
        <v>541</v>
      </c>
      <c r="AC34" s="223">
        <f>R33</f>
        <v>0</v>
      </c>
      <c r="AD34" s="223" t="s">
        <v>551</v>
      </c>
      <c r="AR34" s="116">
        <v>4460</v>
      </c>
      <c r="AS34" s="115" t="s">
        <v>187</v>
      </c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228">
        <f t="shared" si="1"/>
        <v>0</v>
      </c>
      <c r="BF34" s="228">
        <f t="shared" si="2"/>
        <v>0</v>
      </c>
      <c r="BG34" s="228">
        <f t="shared" si="3"/>
        <v>0</v>
      </c>
      <c r="BH34" s="228">
        <f t="shared" si="39"/>
        <v>0</v>
      </c>
    </row>
    <row r="35" spans="2:60" x14ac:dyDescent="0.25">
      <c r="B35" s="222" t="s">
        <v>147</v>
      </c>
      <c r="J35" s="131"/>
      <c r="O35" s="250" t="s">
        <v>32</v>
      </c>
      <c r="Q35" s="132"/>
      <c r="R35" s="261"/>
      <c r="S35" s="128"/>
      <c r="T35" s="262"/>
      <c r="W35" s="223" t="s">
        <v>542</v>
      </c>
      <c r="X35" s="223">
        <f>IF(E3&lt;&gt;0,1,0)</f>
        <v>0</v>
      </c>
      <c r="Y35" s="223" t="s">
        <v>107</v>
      </c>
      <c r="Z35" s="223">
        <f>IF(AND(R33=0,Q30&gt;0),1,IF(AND(R33&lt;&gt;0,Q30=0),1,0))</f>
        <v>0</v>
      </c>
      <c r="AA35" s="263"/>
      <c r="AB35" s="223"/>
      <c r="AC35" s="223"/>
      <c r="AR35" s="116">
        <v>4304</v>
      </c>
      <c r="AS35" s="115" t="s">
        <v>188</v>
      </c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228">
        <f t="shared" si="1"/>
        <v>0</v>
      </c>
      <c r="BF35" s="228">
        <f t="shared" si="2"/>
        <v>0</v>
      </c>
      <c r="BG35" s="228">
        <f t="shared" si="3"/>
        <v>0</v>
      </c>
      <c r="BH35" s="228">
        <f t="shared" si="39"/>
        <v>0</v>
      </c>
    </row>
    <row r="36" spans="2:60" x14ac:dyDescent="0.25">
      <c r="B36" s="222" t="s">
        <v>148</v>
      </c>
      <c r="J36" s="131"/>
      <c r="O36" s="250"/>
      <c r="Q36" s="222" t="s">
        <v>98</v>
      </c>
      <c r="S36" s="222" t="s">
        <v>29</v>
      </c>
      <c r="T36" s="260"/>
      <c r="W36" s="223" t="s">
        <v>543</v>
      </c>
      <c r="X36" s="223">
        <f>IF(OR(E6&lt;&gt;0,E7&lt;&gt;0),1,0)</f>
        <v>0</v>
      </c>
      <c r="Y36" s="223" t="s">
        <v>564</v>
      </c>
      <c r="Z36" s="223">
        <f>IF(AND(Z35=0,N25&gt;0),1,0)</f>
        <v>0</v>
      </c>
      <c r="AA36" s="223"/>
      <c r="AB36" s="223"/>
      <c r="AC36" s="223"/>
      <c r="AR36" s="116">
        <v>4203</v>
      </c>
      <c r="AS36" s="115" t="s">
        <v>189</v>
      </c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228">
        <f t="shared" si="1"/>
        <v>0</v>
      </c>
      <c r="BF36" s="228">
        <f t="shared" si="2"/>
        <v>0</v>
      </c>
      <c r="BG36" s="228">
        <f t="shared" si="3"/>
        <v>0</v>
      </c>
      <c r="BH36" s="228">
        <f t="shared" si="39"/>
        <v>0</v>
      </c>
    </row>
    <row r="37" spans="2:60" x14ac:dyDescent="0.25">
      <c r="J37" s="224">
        <f>COUNTIF(J35:J36,"x")</f>
        <v>0</v>
      </c>
      <c r="O37" s="250" t="s">
        <v>38</v>
      </c>
      <c r="Q37" s="132"/>
      <c r="R37" s="261"/>
      <c r="S37" s="128"/>
      <c r="W37" s="223" t="s">
        <v>1</v>
      </c>
      <c r="X37" s="223">
        <f>IF(P4&gt;0,1,0)</f>
        <v>0</v>
      </c>
      <c r="Y37" s="223"/>
      <c r="Z37" s="223">
        <f ca="1">SUM(Z35:Z36)+SUM(X35:X45)</f>
        <v>1</v>
      </c>
      <c r="AA37" s="223"/>
      <c r="AB37" s="223"/>
      <c r="AC37" s="223">
        <f>IF(AND(SUM(Q30:Q31)=0,AC34&lt;&gt;0),AD34,0)</f>
        <v>0</v>
      </c>
      <c r="AR37" s="116">
        <v>4445</v>
      </c>
      <c r="AS37" s="117" t="s">
        <v>190</v>
      </c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228">
        <f t="shared" si="1"/>
        <v>0</v>
      </c>
      <c r="BF37" s="228">
        <f t="shared" si="2"/>
        <v>0</v>
      </c>
      <c r="BG37" s="228">
        <f t="shared" si="3"/>
        <v>0</v>
      </c>
      <c r="BH37" s="228">
        <f t="shared" si="39"/>
        <v>0</v>
      </c>
    </row>
    <row r="38" spans="2:60" x14ac:dyDescent="0.25">
      <c r="O38" s="250"/>
      <c r="W38" s="223" t="s">
        <v>544</v>
      </c>
      <c r="X38" s="223">
        <f ca="1">IF(P5&gt;0,1,0)</f>
        <v>1</v>
      </c>
      <c r="Y38" s="223"/>
      <c r="Z38" s="223"/>
      <c r="AA38" s="223"/>
      <c r="AB38" s="223"/>
      <c r="AC38" s="223"/>
      <c r="AR38" s="116">
        <v>4465</v>
      </c>
      <c r="AS38" s="115" t="s">
        <v>191</v>
      </c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228">
        <f t="shared" si="1"/>
        <v>0</v>
      </c>
      <c r="BF38" s="228">
        <f t="shared" si="2"/>
        <v>0</v>
      </c>
      <c r="BG38" s="228">
        <f t="shared" si="3"/>
        <v>0</v>
      </c>
      <c r="BH38" s="228">
        <f t="shared" si="39"/>
        <v>0</v>
      </c>
    </row>
    <row r="39" spans="2:60" x14ac:dyDescent="0.25">
      <c r="O39" s="250" t="s">
        <v>553</v>
      </c>
      <c r="Q39" s="128"/>
      <c r="W39" s="223" t="s">
        <v>545</v>
      </c>
      <c r="X39" s="223">
        <f>IF(B13&lt;&gt;0,1,0)</f>
        <v>0</v>
      </c>
      <c r="Y39" s="223"/>
      <c r="Z39" s="223"/>
      <c r="AA39" s="223"/>
      <c r="AB39" s="223"/>
      <c r="AC39" s="223"/>
      <c r="AR39" s="116">
        <v>4423</v>
      </c>
      <c r="AS39" s="115" t="s">
        <v>192</v>
      </c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228">
        <f t="shared" si="1"/>
        <v>0</v>
      </c>
      <c r="BF39" s="228">
        <f t="shared" si="2"/>
        <v>0</v>
      </c>
      <c r="BG39" s="228">
        <f t="shared" si="3"/>
        <v>0</v>
      </c>
      <c r="BH39" s="228">
        <f t="shared" ref="BH39:BH70" si="40">IF(AND(AY39&lt;&gt;0,AZ39&lt;&gt;0,J37&lt;&gt;0),AZ39,0)</f>
        <v>0</v>
      </c>
    </row>
    <row r="40" spans="2:60" x14ac:dyDescent="0.25">
      <c r="O40" s="250"/>
      <c r="W40" s="223" t="s">
        <v>546</v>
      </c>
      <c r="X40" s="223">
        <f>IF(AND(C25&gt;0,C25=D25,C25=SUM(F25:J25),C25=O25),1,0)</f>
        <v>0</v>
      </c>
      <c r="Y40" s="223"/>
      <c r="Z40" s="223" t="s">
        <v>565</v>
      </c>
      <c r="AA40" s="223">
        <f ca="1">Z25+AB25+AC25+AE25+AF25+AG25</f>
        <v>0</v>
      </c>
      <c r="AB40" s="223"/>
      <c r="AC40" s="223"/>
      <c r="AR40" s="116">
        <v>4434</v>
      </c>
      <c r="AS40" s="115" t="s">
        <v>193</v>
      </c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228">
        <f t="shared" si="1"/>
        <v>0</v>
      </c>
      <c r="BF40" s="228">
        <f t="shared" si="2"/>
        <v>0</v>
      </c>
      <c r="BG40" s="228">
        <f t="shared" si="3"/>
        <v>0</v>
      </c>
      <c r="BH40" s="228">
        <f t="shared" si="40"/>
        <v>0</v>
      </c>
    </row>
    <row r="41" spans="2:60" x14ac:dyDescent="0.25">
      <c r="O41" s="250" t="s">
        <v>99</v>
      </c>
      <c r="Q41" s="129"/>
      <c r="W41" s="223" t="s">
        <v>547</v>
      </c>
      <c r="X41" s="223">
        <f>IF(AND(D25&gt;0,D25=C25,D25=SUM(F25:J25),D25=O25),1,0)</f>
        <v>0</v>
      </c>
      <c r="Y41" s="223"/>
      <c r="Z41" s="223" t="s">
        <v>566</v>
      </c>
      <c r="AA41" s="223">
        <f>AD25</f>
        <v>0</v>
      </c>
      <c r="AB41" s="223"/>
      <c r="AC41" s="223"/>
      <c r="AR41" s="116">
        <v>4452</v>
      </c>
      <c r="AS41" s="115" t="s">
        <v>194</v>
      </c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228">
        <f t="shared" si="1"/>
        <v>0</v>
      </c>
      <c r="BF41" s="228">
        <f t="shared" si="2"/>
        <v>0</v>
      </c>
      <c r="BG41" s="228">
        <f t="shared" si="3"/>
        <v>0</v>
      </c>
      <c r="BH41" s="228">
        <f t="shared" si="40"/>
        <v>0</v>
      </c>
    </row>
    <row r="42" spans="2:60" x14ac:dyDescent="0.25">
      <c r="O42" s="250"/>
      <c r="W42" s="223" t="s">
        <v>548</v>
      </c>
      <c r="X42" s="223">
        <f>IF(AND(SUM(F25:J25)&gt;0,SUM(F25:J25)=D25,SUM(F25:J25)=C25,SUM(F25:J25)=O25),1,0)</f>
        <v>0</v>
      </c>
      <c r="Y42" s="223"/>
      <c r="Z42" s="223" t="s">
        <v>567</v>
      </c>
      <c r="AA42" s="223">
        <f>M25</f>
        <v>0</v>
      </c>
      <c r="AB42" s="223"/>
      <c r="AC42" s="223"/>
      <c r="AR42" s="116">
        <v>4447</v>
      </c>
      <c r="AS42" s="115" t="s">
        <v>195</v>
      </c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228">
        <f t="shared" si="1"/>
        <v>0</v>
      </c>
      <c r="BF42" s="228">
        <f t="shared" si="2"/>
        <v>0</v>
      </c>
      <c r="BG42" s="228">
        <f t="shared" si="3"/>
        <v>0</v>
      </c>
      <c r="BH42" s="228">
        <f t="shared" si="40"/>
        <v>0</v>
      </c>
    </row>
    <row r="43" spans="2:60" x14ac:dyDescent="0.25">
      <c r="O43" s="250" t="s">
        <v>101</v>
      </c>
      <c r="W43" s="223" t="s">
        <v>279</v>
      </c>
      <c r="X43" s="223">
        <f>IF(AND(O25&gt;0,O25=SUM(F25:J25),O25=D25,O25=C25),1,0)</f>
        <v>0</v>
      </c>
      <c r="Y43" s="223"/>
      <c r="Z43" s="223"/>
      <c r="AA43" s="223"/>
      <c r="AB43" s="223"/>
      <c r="AC43" s="223"/>
      <c r="AR43" s="116">
        <v>4496</v>
      </c>
      <c r="AS43" s="115" t="s">
        <v>196</v>
      </c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228">
        <f t="shared" si="1"/>
        <v>0</v>
      </c>
      <c r="BF43" s="228">
        <f t="shared" si="2"/>
        <v>0</v>
      </c>
      <c r="BG43" s="228">
        <f t="shared" si="3"/>
        <v>0</v>
      </c>
      <c r="BH43" s="228">
        <f t="shared" si="40"/>
        <v>0</v>
      </c>
    </row>
    <row r="44" spans="2:60" x14ac:dyDescent="0.25">
      <c r="O44" s="250" t="s">
        <v>100</v>
      </c>
      <c r="Q44" s="128"/>
      <c r="R44" s="222" t="s">
        <v>137</v>
      </c>
      <c r="W44" s="223" t="s">
        <v>549</v>
      </c>
      <c r="X44" s="223">
        <f>IF(AND(SUM(F25:I25)&gt;0,J25=0,J37&gt;0),1,IF(AND(SUM(F25:I25)=0,J25&gt;0,J37&gt;0),1,IF(AND(SUM(F25:I25)&gt;0,J25&gt;0,J37&gt;0),1,IF(AND(SUM(F25:I25)=0,J25&gt;0,J37=0),1,0))))</f>
        <v>0</v>
      </c>
      <c r="Y44" s="223"/>
      <c r="Z44" s="223"/>
      <c r="AA44" s="223"/>
      <c r="AB44" s="223"/>
      <c r="AC44" s="223"/>
      <c r="AR44" s="116">
        <v>4432</v>
      </c>
      <c r="AS44" s="115" t="s">
        <v>197</v>
      </c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228">
        <f t="shared" si="1"/>
        <v>0</v>
      </c>
      <c r="BF44" s="228">
        <f t="shared" si="2"/>
        <v>0</v>
      </c>
      <c r="BG44" s="228">
        <f t="shared" si="3"/>
        <v>0</v>
      </c>
      <c r="BH44" s="228">
        <f t="shared" si="40"/>
        <v>0</v>
      </c>
    </row>
    <row r="45" spans="2:60" x14ac:dyDescent="0.25">
      <c r="O45" s="250" t="s">
        <v>31</v>
      </c>
      <c r="R45" s="135"/>
      <c r="W45" s="223" t="s">
        <v>30</v>
      </c>
      <c r="X45" s="223">
        <f>IF(D28&lt;&gt;0,1,0)</f>
        <v>0</v>
      </c>
      <c r="Y45" s="223"/>
      <c r="Z45" s="223"/>
      <c r="AA45" s="223"/>
      <c r="AB45" s="223"/>
      <c r="AC45" s="223"/>
      <c r="AR45" s="116">
        <v>4438</v>
      </c>
      <c r="AS45" s="117" t="s">
        <v>198</v>
      </c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228">
        <f t="shared" si="1"/>
        <v>0</v>
      </c>
      <c r="BF45" s="228">
        <f t="shared" si="2"/>
        <v>0</v>
      </c>
      <c r="BG45" s="228">
        <f t="shared" si="3"/>
        <v>0</v>
      </c>
      <c r="BH45" s="228">
        <f t="shared" si="40"/>
        <v>0</v>
      </c>
    </row>
    <row r="46" spans="2:60" x14ac:dyDescent="0.25">
      <c r="W46" s="223"/>
      <c r="X46" s="223"/>
      <c r="Y46" s="223"/>
      <c r="Z46" s="223"/>
      <c r="AA46" s="223"/>
      <c r="AB46" s="223"/>
      <c r="AC46" s="223"/>
      <c r="AR46" s="116">
        <v>4448</v>
      </c>
      <c r="AS46" s="115" t="s">
        <v>199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228">
        <f t="shared" si="1"/>
        <v>0</v>
      </c>
      <c r="BF46" s="228">
        <f t="shared" si="2"/>
        <v>0</v>
      </c>
      <c r="BG46" s="228">
        <f t="shared" si="3"/>
        <v>0</v>
      </c>
      <c r="BH46" s="228">
        <f t="shared" si="40"/>
        <v>0</v>
      </c>
    </row>
    <row r="47" spans="2:60" x14ac:dyDescent="0.25">
      <c r="AR47" s="116">
        <v>4242</v>
      </c>
      <c r="AS47" s="116" t="s">
        <v>200</v>
      </c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228">
        <f t="shared" si="1"/>
        <v>0</v>
      </c>
      <c r="BF47" s="228">
        <f t="shared" si="2"/>
        <v>0</v>
      </c>
      <c r="BG47" s="228">
        <f t="shared" si="3"/>
        <v>0</v>
      </c>
      <c r="BH47" s="228">
        <f t="shared" si="40"/>
        <v>0</v>
      </c>
    </row>
    <row r="48" spans="2:60" x14ac:dyDescent="0.25">
      <c r="AR48" s="116">
        <v>4415</v>
      </c>
      <c r="AS48" s="115" t="s">
        <v>201</v>
      </c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228">
        <f t="shared" si="1"/>
        <v>0</v>
      </c>
      <c r="BF48" s="228">
        <f t="shared" si="2"/>
        <v>0</v>
      </c>
      <c r="BG48" s="228">
        <f t="shared" si="3"/>
        <v>0</v>
      </c>
      <c r="BH48" s="228">
        <f t="shared" si="40"/>
        <v>0</v>
      </c>
    </row>
    <row r="49" spans="44:60" x14ac:dyDescent="0.25">
      <c r="AR49" s="116">
        <v>4426</v>
      </c>
      <c r="AS49" s="115" t="s">
        <v>202</v>
      </c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228">
        <f t="shared" si="1"/>
        <v>0</v>
      </c>
      <c r="BF49" s="228">
        <f t="shared" si="2"/>
        <v>0</v>
      </c>
      <c r="BG49" s="228">
        <f t="shared" si="3"/>
        <v>0</v>
      </c>
      <c r="BH49" s="228">
        <f t="shared" si="40"/>
        <v>0</v>
      </c>
    </row>
    <row r="50" spans="44:60" x14ac:dyDescent="0.25">
      <c r="AR50" s="116">
        <v>4436</v>
      </c>
      <c r="AS50" s="115" t="s">
        <v>213</v>
      </c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228">
        <f t="shared" si="1"/>
        <v>0</v>
      </c>
      <c r="BF50" s="228">
        <f t="shared" si="2"/>
        <v>0</v>
      </c>
      <c r="BG50" s="228">
        <f t="shared" si="3"/>
        <v>0</v>
      </c>
      <c r="BH50" s="228">
        <f t="shared" si="40"/>
        <v>0</v>
      </c>
    </row>
    <row r="51" spans="44:60" x14ac:dyDescent="0.25">
      <c r="AR51" s="116">
        <v>4253</v>
      </c>
      <c r="AS51" s="115" t="s">
        <v>204</v>
      </c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228">
        <f t="shared" si="1"/>
        <v>0</v>
      </c>
      <c r="BF51" s="228">
        <f t="shared" si="2"/>
        <v>0</v>
      </c>
      <c r="BG51" s="228">
        <f t="shared" si="3"/>
        <v>0</v>
      </c>
      <c r="BH51" s="228">
        <f t="shared" si="40"/>
        <v>0</v>
      </c>
    </row>
    <row r="52" spans="44:60" x14ac:dyDescent="0.25">
      <c r="AR52" s="116">
        <v>4410</v>
      </c>
      <c r="AS52" s="115" t="s">
        <v>205</v>
      </c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228">
        <f t="shared" si="1"/>
        <v>0</v>
      </c>
      <c r="BF52" s="228">
        <f t="shared" si="2"/>
        <v>0</v>
      </c>
      <c r="BG52" s="228">
        <f t="shared" si="3"/>
        <v>0</v>
      </c>
      <c r="BH52" s="228">
        <f t="shared" si="40"/>
        <v>0</v>
      </c>
    </row>
    <row r="53" spans="44:60" x14ac:dyDescent="0.25">
      <c r="AR53" s="116">
        <v>4419</v>
      </c>
      <c r="AS53" s="117" t="s">
        <v>206</v>
      </c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228">
        <f t="shared" si="1"/>
        <v>0</v>
      </c>
      <c r="BF53" s="228">
        <f t="shared" si="2"/>
        <v>0</v>
      </c>
      <c r="BG53" s="228">
        <f t="shared" si="3"/>
        <v>0</v>
      </c>
      <c r="BH53" s="228">
        <f t="shared" si="40"/>
        <v>0</v>
      </c>
    </row>
    <row r="54" spans="44:60" x14ac:dyDescent="0.25">
      <c r="AR54" s="116">
        <v>4464</v>
      </c>
      <c r="AS54" s="115" t="s">
        <v>207</v>
      </c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228">
        <f t="shared" si="1"/>
        <v>0</v>
      </c>
      <c r="BF54" s="228">
        <f t="shared" si="2"/>
        <v>0</v>
      </c>
      <c r="BG54" s="228">
        <f t="shared" si="3"/>
        <v>0</v>
      </c>
      <c r="BH54" s="228">
        <f t="shared" si="40"/>
        <v>0</v>
      </c>
    </row>
    <row r="55" spans="44:60" x14ac:dyDescent="0.25">
      <c r="AR55" s="116">
        <v>4142</v>
      </c>
      <c r="AS55" s="115" t="s">
        <v>208</v>
      </c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228">
        <f t="shared" si="1"/>
        <v>0</v>
      </c>
      <c r="BF55" s="228">
        <f t="shared" si="2"/>
        <v>0</v>
      </c>
      <c r="BG55" s="228">
        <f t="shared" si="3"/>
        <v>0</v>
      </c>
      <c r="BH55" s="228">
        <f t="shared" si="40"/>
        <v>0</v>
      </c>
    </row>
    <row r="56" spans="44:60" x14ac:dyDescent="0.25">
      <c r="AR56" s="116">
        <v>4132</v>
      </c>
      <c r="AS56" s="116" t="s">
        <v>209</v>
      </c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228">
        <f t="shared" si="1"/>
        <v>0</v>
      </c>
      <c r="BF56" s="228">
        <f t="shared" si="2"/>
        <v>0</v>
      </c>
      <c r="BG56" s="228">
        <f t="shared" si="3"/>
        <v>0</v>
      </c>
      <c r="BH56" s="228">
        <f t="shared" si="40"/>
        <v>0</v>
      </c>
    </row>
    <row r="57" spans="44:60" x14ac:dyDescent="0.25">
      <c r="AR57" s="116">
        <v>4224</v>
      </c>
      <c r="AS57" s="115" t="s">
        <v>210</v>
      </c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228">
        <f t="shared" si="1"/>
        <v>0</v>
      </c>
      <c r="BF57" s="228">
        <f t="shared" si="2"/>
        <v>0</v>
      </c>
      <c r="BG57" s="228">
        <f t="shared" si="3"/>
        <v>0</v>
      </c>
      <c r="BH57" s="228">
        <f t="shared" si="40"/>
        <v>0</v>
      </c>
    </row>
    <row r="58" spans="44:60" x14ac:dyDescent="0.25">
      <c r="AR58" s="116">
        <v>4435</v>
      </c>
      <c r="AS58" s="115" t="s">
        <v>211</v>
      </c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228">
        <f t="shared" si="1"/>
        <v>0</v>
      </c>
      <c r="BF58" s="228">
        <f t="shared" si="2"/>
        <v>0</v>
      </c>
      <c r="BG58" s="228">
        <f t="shared" si="3"/>
        <v>0</v>
      </c>
      <c r="BH58" s="228">
        <f t="shared" si="40"/>
        <v>0</v>
      </c>
    </row>
    <row r="59" spans="44:60" x14ac:dyDescent="0.25">
      <c r="AR59" s="116">
        <v>4453</v>
      </c>
      <c r="AS59" s="115" t="s">
        <v>212</v>
      </c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228">
        <f t="shared" si="1"/>
        <v>0</v>
      </c>
      <c r="BF59" s="228">
        <f t="shared" si="2"/>
        <v>0</v>
      </c>
      <c r="BG59" s="228">
        <f t="shared" si="3"/>
        <v>0</v>
      </c>
      <c r="BH59" s="228">
        <f t="shared" si="40"/>
        <v>0</v>
      </c>
    </row>
    <row r="60" spans="44:60" x14ac:dyDescent="0.25">
      <c r="AR60" s="116">
        <v>4436</v>
      </c>
      <c r="AS60" s="115" t="s">
        <v>203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228">
        <f t="shared" si="1"/>
        <v>0</v>
      </c>
      <c r="BF60" s="228">
        <f t="shared" si="2"/>
        <v>0</v>
      </c>
      <c r="BG60" s="228">
        <f t="shared" si="3"/>
        <v>0</v>
      </c>
      <c r="BH60" s="228">
        <f t="shared" si="40"/>
        <v>0</v>
      </c>
    </row>
    <row r="61" spans="44:60" x14ac:dyDescent="0.25">
      <c r="AR61" s="116">
        <v>4104</v>
      </c>
      <c r="AS61" s="118" t="s">
        <v>214</v>
      </c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228">
        <f t="shared" si="1"/>
        <v>0</v>
      </c>
      <c r="BF61" s="228">
        <f t="shared" si="2"/>
        <v>0</v>
      </c>
      <c r="BG61" s="228">
        <f t="shared" si="3"/>
        <v>0</v>
      </c>
      <c r="BH61" s="228">
        <f t="shared" si="40"/>
        <v>0</v>
      </c>
    </row>
    <row r="62" spans="44:60" x14ac:dyDescent="0.25">
      <c r="AR62" s="116">
        <v>4494</v>
      </c>
      <c r="AS62" s="115" t="s">
        <v>215</v>
      </c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228">
        <f t="shared" si="1"/>
        <v>0</v>
      </c>
      <c r="BF62" s="228">
        <f t="shared" si="2"/>
        <v>0</v>
      </c>
      <c r="BG62" s="228">
        <f t="shared" si="3"/>
        <v>0</v>
      </c>
      <c r="BH62" s="228">
        <f t="shared" si="40"/>
        <v>0</v>
      </c>
    </row>
    <row r="63" spans="44:60" x14ac:dyDescent="0.25">
      <c r="AR63" s="116">
        <v>4466</v>
      </c>
      <c r="AS63" s="115" t="s">
        <v>216</v>
      </c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228">
        <f t="shared" si="1"/>
        <v>0</v>
      </c>
      <c r="BF63" s="228">
        <f t="shared" si="2"/>
        <v>0</v>
      </c>
      <c r="BG63" s="228">
        <f t="shared" si="3"/>
        <v>0</v>
      </c>
      <c r="BH63" s="228">
        <f t="shared" si="40"/>
        <v>0</v>
      </c>
    </row>
    <row r="64" spans="44:60" x14ac:dyDescent="0.25">
      <c r="AR64" s="116">
        <v>4148</v>
      </c>
      <c r="AS64" s="115" t="s">
        <v>217</v>
      </c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228">
        <f t="shared" si="1"/>
        <v>0</v>
      </c>
      <c r="BF64" s="228">
        <f t="shared" si="2"/>
        <v>0</v>
      </c>
      <c r="BG64" s="228">
        <f t="shared" si="3"/>
        <v>0</v>
      </c>
      <c r="BH64" s="228">
        <f t="shared" si="40"/>
        <v>0</v>
      </c>
    </row>
    <row r="65" spans="44:60" x14ac:dyDescent="0.25">
      <c r="AR65" s="116">
        <v>4133</v>
      </c>
      <c r="AS65" s="115" t="s">
        <v>218</v>
      </c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228">
        <f t="shared" si="1"/>
        <v>0</v>
      </c>
      <c r="BF65" s="228">
        <f t="shared" si="2"/>
        <v>0</v>
      </c>
      <c r="BG65" s="228">
        <f t="shared" si="3"/>
        <v>0</v>
      </c>
      <c r="BH65" s="228">
        <f t="shared" si="40"/>
        <v>0</v>
      </c>
    </row>
    <row r="66" spans="44:60" x14ac:dyDescent="0.25">
      <c r="AR66" s="116">
        <v>4433</v>
      </c>
      <c r="AS66" s="115" t="s">
        <v>219</v>
      </c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228">
        <f t="shared" si="1"/>
        <v>0</v>
      </c>
      <c r="BF66" s="228">
        <f t="shared" si="2"/>
        <v>0</v>
      </c>
      <c r="BG66" s="228">
        <f t="shared" si="3"/>
        <v>0</v>
      </c>
      <c r="BH66" s="228">
        <f t="shared" si="40"/>
        <v>0</v>
      </c>
    </row>
    <row r="67" spans="44:60" x14ac:dyDescent="0.25">
      <c r="AR67" s="116">
        <v>4418</v>
      </c>
      <c r="AS67" s="115" t="s">
        <v>220</v>
      </c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228">
        <f t="shared" si="1"/>
        <v>0</v>
      </c>
      <c r="BF67" s="228">
        <f t="shared" si="2"/>
        <v>0</v>
      </c>
      <c r="BG67" s="228">
        <f t="shared" si="3"/>
        <v>0</v>
      </c>
      <c r="BH67" s="228">
        <f t="shared" si="40"/>
        <v>0</v>
      </c>
    </row>
    <row r="68" spans="44:60" x14ac:dyDescent="0.25">
      <c r="AR68" s="116">
        <v>4153</v>
      </c>
      <c r="AS68" s="115" t="s">
        <v>221</v>
      </c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228">
        <f t="shared" si="1"/>
        <v>0</v>
      </c>
      <c r="BF68" s="228">
        <f t="shared" si="2"/>
        <v>0</v>
      </c>
      <c r="BG68" s="228">
        <f t="shared" si="3"/>
        <v>0</v>
      </c>
      <c r="BH68" s="228">
        <f t="shared" si="40"/>
        <v>0</v>
      </c>
    </row>
    <row r="69" spans="44:60" x14ac:dyDescent="0.25">
      <c r="AR69" s="116">
        <v>4462</v>
      </c>
      <c r="AS69" s="117" t="s">
        <v>222</v>
      </c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228">
        <f t="shared" si="1"/>
        <v>0</v>
      </c>
      <c r="BF69" s="228">
        <f t="shared" si="2"/>
        <v>0</v>
      </c>
      <c r="BG69" s="228">
        <f t="shared" si="3"/>
        <v>0</v>
      </c>
      <c r="BH69" s="228">
        <f t="shared" si="40"/>
        <v>0</v>
      </c>
    </row>
    <row r="70" spans="44:60" x14ac:dyDescent="0.25">
      <c r="AR70" s="116">
        <v>2814</v>
      </c>
      <c r="AS70" s="115" t="s">
        <v>223</v>
      </c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228">
        <f t="shared" si="1"/>
        <v>0</v>
      </c>
      <c r="BF70" s="228">
        <f t="shared" si="2"/>
        <v>0</v>
      </c>
      <c r="BG70" s="228">
        <f t="shared" si="3"/>
        <v>0</v>
      </c>
      <c r="BH70" s="228">
        <f t="shared" si="40"/>
        <v>0</v>
      </c>
    </row>
    <row r="71" spans="44:60" x14ac:dyDescent="0.25">
      <c r="AR71" s="116">
        <v>4244</v>
      </c>
      <c r="AS71" s="115" t="s">
        <v>224</v>
      </c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228">
        <f t="shared" ref="BE71:BE91" si="41">IF(AT71&lt;&gt;0,AT71,IF(AU71&lt;&gt;0,AU71,IF(AV71&lt;&gt;0,AV71,IF(AW71&lt;&gt;0,AW71,IF(AX71&lt;&gt;0,AX71,IF(AY71&lt;&gt;0,AY71,IF(AZ71&lt;&gt;0,AZ71,IF(BA71&lt;&gt;0,BA71,0))))))))</f>
        <v>0</v>
      </c>
      <c r="BF71" s="228">
        <f t="shared" ref="BF71:BF91" si="42">IF(BB71&lt;&gt;0,BB71,IF(BC71&lt;&gt;0,BC71,IF(BD71&lt;&gt;0,BD71,0)))</f>
        <v>0</v>
      </c>
      <c r="BG71" s="228">
        <f t="shared" ref="BG71:BG91" si="43">IF(BE71&lt;&gt;0,BE71,IF(BF71&lt;&gt;0,BF71,0))</f>
        <v>0</v>
      </c>
      <c r="BH71" s="228">
        <f t="shared" ref="BH71:BH91" si="44">IF(AND(AY71&lt;&gt;0,AZ71&lt;&gt;0,J69&lt;&gt;0),AZ71,0)</f>
        <v>0</v>
      </c>
    </row>
    <row r="72" spans="44:60" x14ac:dyDescent="0.25">
      <c r="AR72" s="116">
        <v>4467</v>
      </c>
      <c r="AS72" s="115" t="s">
        <v>225</v>
      </c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228">
        <f t="shared" si="41"/>
        <v>0</v>
      </c>
      <c r="BF72" s="228">
        <f t="shared" si="42"/>
        <v>0</v>
      </c>
      <c r="BG72" s="228">
        <f t="shared" si="43"/>
        <v>0</v>
      </c>
      <c r="BH72" s="228">
        <f t="shared" si="44"/>
        <v>0</v>
      </c>
    </row>
    <row r="73" spans="44:60" x14ac:dyDescent="0.25">
      <c r="AR73" s="116">
        <v>4444</v>
      </c>
      <c r="AS73" s="115" t="s">
        <v>226</v>
      </c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228">
        <f t="shared" si="41"/>
        <v>0</v>
      </c>
      <c r="BF73" s="228">
        <f t="shared" si="42"/>
        <v>0</v>
      </c>
      <c r="BG73" s="228">
        <f t="shared" si="43"/>
        <v>0</v>
      </c>
      <c r="BH73" s="228">
        <f t="shared" si="44"/>
        <v>0</v>
      </c>
    </row>
    <row r="74" spans="44:60" x14ac:dyDescent="0.25">
      <c r="AR74" s="116">
        <v>4497</v>
      </c>
      <c r="AS74" s="115" t="s">
        <v>227</v>
      </c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228">
        <f t="shared" si="41"/>
        <v>0</v>
      </c>
      <c r="BF74" s="228">
        <f t="shared" si="42"/>
        <v>0</v>
      </c>
      <c r="BG74" s="228">
        <f t="shared" si="43"/>
        <v>0</v>
      </c>
      <c r="BH74" s="228">
        <f t="shared" si="44"/>
        <v>0</v>
      </c>
    </row>
    <row r="75" spans="44:60" x14ac:dyDescent="0.25">
      <c r="AR75" s="116">
        <v>4124</v>
      </c>
      <c r="AS75" s="115" t="s">
        <v>228</v>
      </c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228">
        <f t="shared" si="41"/>
        <v>0</v>
      </c>
      <c r="BF75" s="228">
        <f t="shared" si="42"/>
        <v>0</v>
      </c>
      <c r="BG75" s="228">
        <f t="shared" si="43"/>
        <v>0</v>
      </c>
      <c r="BH75" s="228">
        <f t="shared" si="44"/>
        <v>0</v>
      </c>
    </row>
    <row r="76" spans="44:60" x14ac:dyDescent="0.25">
      <c r="AR76" s="116">
        <v>4411</v>
      </c>
      <c r="AS76" s="115" t="s">
        <v>229</v>
      </c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228">
        <f t="shared" si="41"/>
        <v>0</v>
      </c>
      <c r="BF76" s="228">
        <f t="shared" si="42"/>
        <v>0</v>
      </c>
      <c r="BG76" s="228">
        <f t="shared" si="43"/>
        <v>0</v>
      </c>
      <c r="BH76" s="228">
        <f t="shared" si="44"/>
        <v>0</v>
      </c>
    </row>
    <row r="77" spans="44:60" x14ac:dyDescent="0.25">
      <c r="AR77" s="116">
        <v>4450</v>
      </c>
      <c r="AS77" s="117" t="s">
        <v>230</v>
      </c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228">
        <f t="shared" si="41"/>
        <v>0</v>
      </c>
      <c r="BF77" s="228">
        <f t="shared" si="42"/>
        <v>0</v>
      </c>
      <c r="BG77" s="228">
        <f t="shared" si="43"/>
        <v>0</v>
      </c>
      <c r="BH77" s="228">
        <f t="shared" si="44"/>
        <v>0</v>
      </c>
    </row>
    <row r="78" spans="44:60" x14ac:dyDescent="0.25">
      <c r="AR78" s="116">
        <v>4492</v>
      </c>
      <c r="AS78" s="115" t="s">
        <v>231</v>
      </c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228">
        <f t="shared" si="41"/>
        <v>0</v>
      </c>
      <c r="BF78" s="228">
        <f t="shared" si="42"/>
        <v>0</v>
      </c>
      <c r="BG78" s="228">
        <f t="shared" si="43"/>
        <v>0</v>
      </c>
      <c r="BH78" s="228">
        <f t="shared" si="44"/>
        <v>0</v>
      </c>
    </row>
    <row r="79" spans="44:60" x14ac:dyDescent="0.25">
      <c r="AR79" s="116">
        <v>4456</v>
      </c>
      <c r="AS79" s="115" t="s">
        <v>232</v>
      </c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228">
        <f t="shared" si="41"/>
        <v>0</v>
      </c>
      <c r="BF79" s="228">
        <f t="shared" si="42"/>
        <v>0</v>
      </c>
      <c r="BG79" s="228">
        <f t="shared" si="43"/>
        <v>0</v>
      </c>
      <c r="BH79" s="228">
        <f t="shared" si="44"/>
        <v>0</v>
      </c>
    </row>
    <row r="80" spans="44:60" x14ac:dyDescent="0.25">
      <c r="AR80" s="116">
        <v>4106</v>
      </c>
      <c r="AS80" s="115" t="s">
        <v>233</v>
      </c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228">
        <f t="shared" si="41"/>
        <v>0</v>
      </c>
      <c r="BF80" s="228">
        <f t="shared" si="42"/>
        <v>0</v>
      </c>
      <c r="BG80" s="228">
        <f t="shared" si="43"/>
        <v>0</v>
      </c>
      <c r="BH80" s="228">
        <f t="shared" si="44"/>
        <v>0</v>
      </c>
    </row>
    <row r="81" spans="44:60" x14ac:dyDescent="0.25">
      <c r="AR81" s="116">
        <v>4441</v>
      </c>
      <c r="AS81" s="115" t="s">
        <v>234</v>
      </c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228">
        <f t="shared" si="41"/>
        <v>0</v>
      </c>
      <c r="BF81" s="228">
        <f t="shared" si="42"/>
        <v>0</v>
      </c>
      <c r="BG81" s="228">
        <f t="shared" si="43"/>
        <v>0</v>
      </c>
      <c r="BH81" s="228">
        <f t="shared" si="44"/>
        <v>0</v>
      </c>
    </row>
    <row r="82" spans="44:60" x14ac:dyDescent="0.25">
      <c r="AR82" s="116">
        <v>4425</v>
      </c>
      <c r="AS82" s="115" t="s">
        <v>235</v>
      </c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228">
        <f t="shared" si="41"/>
        <v>0</v>
      </c>
      <c r="BF82" s="228">
        <f t="shared" si="42"/>
        <v>0</v>
      </c>
      <c r="BG82" s="228">
        <f t="shared" si="43"/>
        <v>0</v>
      </c>
      <c r="BH82" s="228">
        <f t="shared" si="44"/>
        <v>0</v>
      </c>
    </row>
    <row r="83" spans="44:60" x14ac:dyDescent="0.25">
      <c r="AR83" s="116">
        <v>4246</v>
      </c>
      <c r="AS83" s="115" t="s">
        <v>236</v>
      </c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228">
        <f t="shared" si="41"/>
        <v>0</v>
      </c>
      <c r="BF83" s="228">
        <f t="shared" si="42"/>
        <v>0</v>
      </c>
      <c r="BG83" s="228">
        <f t="shared" si="43"/>
        <v>0</v>
      </c>
      <c r="BH83" s="228">
        <f t="shared" si="44"/>
        <v>0</v>
      </c>
    </row>
    <row r="84" spans="44:60" x14ac:dyDescent="0.25">
      <c r="AR84" s="116">
        <v>4437</v>
      </c>
      <c r="AS84" s="115" t="s">
        <v>237</v>
      </c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228">
        <f t="shared" si="41"/>
        <v>0</v>
      </c>
      <c r="BF84" s="228">
        <f t="shared" si="42"/>
        <v>0</v>
      </c>
      <c r="BG84" s="228">
        <f t="shared" si="43"/>
        <v>0</v>
      </c>
      <c r="BH84" s="228">
        <f t="shared" si="44"/>
        <v>0</v>
      </c>
    </row>
    <row r="85" spans="44:60" x14ac:dyDescent="0.25">
      <c r="AR85" s="116">
        <v>4493</v>
      </c>
      <c r="AS85" s="117" t="s">
        <v>238</v>
      </c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228">
        <f t="shared" si="41"/>
        <v>0</v>
      </c>
      <c r="BF85" s="228">
        <f t="shared" si="42"/>
        <v>0</v>
      </c>
      <c r="BG85" s="228">
        <f t="shared" si="43"/>
        <v>0</v>
      </c>
      <c r="BH85" s="228">
        <f t="shared" si="44"/>
        <v>0</v>
      </c>
    </row>
    <row r="86" spans="44:60" x14ac:dyDescent="0.25">
      <c r="AR86" s="116">
        <v>4451</v>
      </c>
      <c r="AS86" s="115" t="s">
        <v>239</v>
      </c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228">
        <f t="shared" si="41"/>
        <v>0</v>
      </c>
      <c r="BF86" s="228">
        <f t="shared" si="42"/>
        <v>0</v>
      </c>
      <c r="BG86" s="228">
        <f t="shared" si="43"/>
        <v>0</v>
      </c>
      <c r="BH86" s="228">
        <f t="shared" si="44"/>
        <v>0</v>
      </c>
    </row>
    <row r="87" spans="44:60" x14ac:dyDescent="0.25">
      <c r="AR87" s="116">
        <v>4443</v>
      </c>
      <c r="AS87" s="115" t="s">
        <v>240</v>
      </c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228">
        <f t="shared" si="41"/>
        <v>0</v>
      </c>
      <c r="BF87" s="228">
        <f t="shared" si="42"/>
        <v>0</v>
      </c>
      <c r="BG87" s="228">
        <f t="shared" si="43"/>
        <v>0</v>
      </c>
      <c r="BH87" s="228">
        <f t="shared" si="44"/>
        <v>0</v>
      </c>
    </row>
    <row r="88" spans="44:60" x14ac:dyDescent="0.25">
      <c r="AR88" s="116">
        <v>4495</v>
      </c>
      <c r="AS88" s="115" t="s">
        <v>241</v>
      </c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228">
        <f t="shared" si="41"/>
        <v>0</v>
      </c>
      <c r="BF88" s="228">
        <f t="shared" si="42"/>
        <v>0</v>
      </c>
      <c r="BG88" s="228">
        <f t="shared" si="43"/>
        <v>0</v>
      </c>
      <c r="BH88" s="228">
        <f t="shared" si="44"/>
        <v>0</v>
      </c>
    </row>
    <row r="89" spans="44:60" x14ac:dyDescent="0.25">
      <c r="AR89" s="116">
        <v>4417</v>
      </c>
      <c r="AS89" s="115" t="s">
        <v>242</v>
      </c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228">
        <f t="shared" si="41"/>
        <v>0</v>
      </c>
      <c r="BF89" s="228">
        <f t="shared" si="42"/>
        <v>0</v>
      </c>
      <c r="BG89" s="228">
        <f t="shared" si="43"/>
        <v>0</v>
      </c>
      <c r="BH89" s="228">
        <f t="shared" si="44"/>
        <v>0</v>
      </c>
    </row>
    <row r="90" spans="44:60" x14ac:dyDescent="0.25">
      <c r="AR90" s="116">
        <v>4455</v>
      </c>
      <c r="AS90" s="115" t="s">
        <v>243</v>
      </c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228">
        <f t="shared" si="41"/>
        <v>0</v>
      </c>
      <c r="BF90" s="228">
        <f t="shared" si="42"/>
        <v>0</v>
      </c>
      <c r="BG90" s="228">
        <f t="shared" si="43"/>
        <v>0</v>
      </c>
      <c r="BH90" s="228">
        <f t="shared" si="44"/>
        <v>0</v>
      </c>
    </row>
    <row r="91" spans="44:60" x14ac:dyDescent="0.25">
      <c r="AR91" s="116">
        <v>4222</v>
      </c>
      <c r="AS91" s="117" t="s">
        <v>244</v>
      </c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228">
        <f t="shared" si="41"/>
        <v>0</v>
      </c>
      <c r="BF91" s="228">
        <f t="shared" si="42"/>
        <v>0</v>
      </c>
      <c r="BG91" s="228">
        <f t="shared" si="43"/>
        <v>0</v>
      </c>
      <c r="BH91" s="228">
        <f t="shared" si="44"/>
        <v>0</v>
      </c>
    </row>
    <row r="92" spans="44:60" x14ac:dyDescent="0.25">
      <c r="AR92" s="111">
        <v>4222</v>
      </c>
      <c r="AS92" s="112" t="s">
        <v>244</v>
      </c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264">
        <f t="shared" ref="BE92" si="45">IF(AT92&lt;&gt;0,AT92,IF(AU92&lt;&gt;0,AU92,IF(AV92&lt;&gt;0,AV92,IF(AW92&lt;&gt;0,AW92,IF(AX92&lt;&gt;0,AX92,IF(AY92&lt;&gt;0,AY92,IF(AZ92&lt;&gt;0,AZ92,IF(BA92&lt;&gt;0,BA92,0))))))))</f>
        <v>0</v>
      </c>
      <c r="BF92" s="264">
        <f t="shared" ref="BF92" si="46">IF(BB92&lt;&gt;0,BB92,IF(BC92&lt;&gt;0,BC92,IF(BD92&lt;&gt;0,BD92,0)))</f>
        <v>0</v>
      </c>
      <c r="BG92" s="264">
        <f t="shared" ref="BG92" si="47">IF(BE92&lt;&gt;0,BE92,IF(BF92&lt;&gt;0,BF92,0))</f>
        <v>0</v>
      </c>
    </row>
    <row r="93" spans="44:60" x14ac:dyDescent="0.25">
      <c r="AR93" s="113">
        <v>4254</v>
      </c>
      <c r="AS93" s="114" t="s">
        <v>204</v>
      </c>
    </row>
  </sheetData>
  <sheetProtection password="F801" sheet="1" objects="1" scenarios="1" selectLockedCells="1"/>
  <mergeCells count="1">
    <mergeCell ref="I11:I12"/>
  </mergeCells>
  <conditionalFormatting sqref="K13:M24 B26">
    <cfRule type="cellIs" dxfId="23" priority="8" operator="equal">
      <formula>0</formula>
    </cfRule>
  </conditionalFormatting>
  <conditionalFormatting sqref="M6">
    <cfRule type="cellIs" dxfId="22" priority="5" operator="equal">
      <formula>0</formula>
    </cfRule>
    <cfRule type="cellIs" dxfId="21" priority="7" operator="notEqual">
      <formula>0</formula>
    </cfRule>
  </conditionalFormatting>
  <conditionalFormatting sqref="C26">
    <cfRule type="cellIs" dxfId="20" priority="6" operator="equal">
      <formula>0</formula>
    </cfRule>
  </conditionalFormatting>
  <conditionalFormatting sqref="F3">
    <cfRule type="cellIs" dxfId="19" priority="3" operator="equal">
      <formula>0</formula>
    </cfRule>
    <cfRule type="cellIs" dxfId="18" priority="4" operator="notEqual">
      <formula>0</formula>
    </cfRule>
  </conditionalFormatting>
  <conditionalFormatting sqref="R4">
    <cfRule type="cellIs" dxfId="17" priority="1" operator="notEqual">
      <formula>12</formula>
    </cfRule>
    <cfRule type="cellIs" dxfId="16" priority="2" operator="equal">
      <formula>12</formula>
    </cfRule>
  </conditionalFormatting>
  <pageMargins left="0.70866141732283472" right="0.70866141732283472" top="0.59055118110236227" bottom="0.59055118110236227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2:AS56"/>
  <sheetViews>
    <sheetView showGridLines="0" showRowColHeaders="0" showZeros="0" workbookViewId="0">
      <pane ySplit="14" topLeftCell="A15" activePane="bottomLeft" state="frozen"/>
      <selection activeCell="J36" sqref="J36"/>
      <selection pane="bottomLeft" activeCell="O9" sqref="O9"/>
    </sheetView>
  </sheetViews>
  <sheetFormatPr baseColWidth="10" defaultColWidth="11" defaultRowHeight="11.4" x14ac:dyDescent="0.2"/>
  <cols>
    <col min="1" max="1" width="1.3984375" style="31" customWidth="1"/>
    <col min="2" max="2" width="18" style="31" customWidth="1"/>
    <col min="3" max="3" width="6.8984375" style="31" customWidth="1"/>
    <col min="4" max="4" width="6.8984375" style="31" hidden="1" customWidth="1"/>
    <col min="5" max="5" width="2.19921875" style="31" hidden="1" customWidth="1"/>
    <col min="6" max="6" width="3.3984375" style="31" hidden="1" customWidth="1"/>
    <col min="7" max="7" width="1.69921875" style="31" hidden="1" customWidth="1"/>
    <col min="8" max="8" width="2.19921875" style="31" hidden="1" customWidth="1"/>
    <col min="9" max="9" width="3.19921875" style="31" hidden="1" customWidth="1"/>
    <col min="10" max="11" width="3.59765625" style="276" customWidth="1"/>
    <col min="12" max="14" width="7.69921875" style="31" customWidth="1"/>
    <col min="15" max="15" width="4.3984375" style="31" customWidth="1"/>
    <col min="16" max="16" width="5.59765625" style="31" bestFit="1" customWidth="1"/>
    <col min="17" max="17" width="2.19921875" style="31" customWidth="1"/>
    <col min="18" max="21" width="7.69921875" style="31" customWidth="1"/>
    <col min="22" max="22" width="7.69921875" style="31" hidden="1" customWidth="1"/>
    <col min="23" max="23" width="8.69921875" style="31" hidden="1" customWidth="1"/>
    <col min="24" max="24" width="8.69921875" style="276" customWidth="1"/>
    <col min="25" max="25" width="4.09765625" style="31" hidden="1" customWidth="1"/>
    <col min="26" max="26" width="5.59765625" style="31" hidden="1" customWidth="1"/>
    <col min="27" max="27" width="7" style="31" hidden="1" customWidth="1"/>
    <col min="28" max="28" width="7.19921875" style="31" hidden="1" customWidth="1"/>
    <col min="29" max="29" width="7.09765625" style="31" hidden="1" customWidth="1"/>
    <col min="30" max="30" width="6" style="31" hidden="1" customWidth="1"/>
    <col min="31" max="32" width="8.19921875" style="31" customWidth="1"/>
    <col min="33" max="34" width="11" style="31" hidden="1" customWidth="1"/>
    <col min="35" max="35" width="6.8984375" style="31" hidden="1" customWidth="1"/>
    <col min="36" max="37" width="11" style="31" hidden="1" customWidth="1"/>
    <col min="38" max="38" width="2.3984375" style="31" hidden="1" customWidth="1"/>
    <col min="39" max="39" width="11" style="31" hidden="1" customWidth="1"/>
    <col min="40" max="40" width="2" style="31" hidden="1" customWidth="1"/>
    <col min="41" max="41" width="9.3984375" style="31" hidden="1" customWidth="1"/>
    <col min="42" max="42" width="6.8984375" style="31" hidden="1" customWidth="1"/>
    <col min="43" max="43" width="5.5" style="31" hidden="1" customWidth="1"/>
    <col min="44" max="44" width="5.69921875" style="31" hidden="1" customWidth="1"/>
    <col min="45" max="45" width="6.69921875" style="31" hidden="1" customWidth="1"/>
    <col min="46" max="46" width="0" style="31" hidden="1" customWidth="1"/>
    <col min="47" max="16384" width="11" style="31"/>
  </cols>
  <sheetData>
    <row r="2" spans="1:45" x14ac:dyDescent="0.2">
      <c r="B2" s="31">
        <f>Erfassung!AU3</f>
        <v>0</v>
      </c>
      <c r="Z2" s="2" t="s">
        <v>103</v>
      </c>
      <c r="AA2" s="21">
        <f>Rechnen!D18</f>
        <v>400</v>
      </c>
      <c r="AB2" s="2" t="s">
        <v>296</v>
      </c>
    </row>
    <row r="3" spans="1:45" ht="12" x14ac:dyDescent="0.25">
      <c r="B3" s="38">
        <f ca="1">'Auszahlung und Buchung'!B30</f>
        <v>0</v>
      </c>
      <c r="Z3" s="2"/>
      <c r="AA3" s="21">
        <f>Rechnen!D19</f>
        <v>700</v>
      </c>
      <c r="AB3" s="2" t="s">
        <v>297</v>
      </c>
    </row>
    <row r="4" spans="1:45" x14ac:dyDescent="0.2">
      <c r="Z4" s="2" t="s">
        <v>104</v>
      </c>
      <c r="AA4" s="21">
        <f>Rechnen!D20</f>
        <v>100</v>
      </c>
      <c r="AB4" s="2" t="s">
        <v>298</v>
      </c>
    </row>
    <row r="5" spans="1:45" x14ac:dyDescent="0.2">
      <c r="Z5" s="2"/>
      <c r="AA5" s="21">
        <f>Rechnen!D21</f>
        <v>400</v>
      </c>
      <c r="AB5" s="2" t="s">
        <v>299</v>
      </c>
      <c r="AH5" s="31" t="s">
        <v>295</v>
      </c>
    </row>
    <row r="6" spans="1:45" x14ac:dyDescent="0.2">
      <c r="B6" s="31">
        <f ca="1">Unterstützung!B10</f>
        <v>0</v>
      </c>
      <c r="Z6" s="2"/>
      <c r="AA6" s="21">
        <f>Rechnen!D22</f>
        <v>700</v>
      </c>
      <c r="AB6" s="2" t="s">
        <v>297</v>
      </c>
    </row>
    <row r="7" spans="1:45" x14ac:dyDescent="0.2">
      <c r="B7" s="31">
        <f>Unterstützung!B13</f>
        <v>0</v>
      </c>
      <c r="Z7" s="21" t="str">
        <f>Rechnen!C23</f>
        <v>Std für 100%</v>
      </c>
      <c r="AA7" s="21">
        <f>Rechnen!D23</f>
        <v>187</v>
      </c>
      <c r="AH7" s="31" t="s">
        <v>272</v>
      </c>
      <c r="AO7" s="96">
        <f ca="1">Unterstützung!K19</f>
        <v>0</v>
      </c>
    </row>
    <row r="8" spans="1:45" x14ac:dyDescent="0.2">
      <c r="N8" s="31" t="s">
        <v>435</v>
      </c>
      <c r="O8" s="127" t="s">
        <v>620</v>
      </c>
      <c r="Z8" s="21" t="str">
        <f>Rechnen!C24</f>
        <v>SHV FE &lt;50</v>
      </c>
      <c r="AA8" s="21">
        <f>Rechnen!D24</f>
        <v>250</v>
      </c>
      <c r="AH8" s="31" t="s">
        <v>333</v>
      </c>
    </row>
    <row r="9" spans="1:45" ht="14.25" customHeight="1" x14ac:dyDescent="0.2">
      <c r="R9" s="99"/>
      <c r="Z9" s="196" t="str">
        <f>Rechnen!C25</f>
        <v>Min Eink für FE</v>
      </c>
      <c r="AA9" s="196">
        <f>Rechnen!D25</f>
        <v>100</v>
      </c>
      <c r="AH9" s="2" t="s">
        <v>456</v>
      </c>
      <c r="AI9" s="27">
        <f>IF(AM14=0,L27+SUM(S27:U27),IF(AM14&gt;0,AM14,0))</f>
        <v>0</v>
      </c>
    </row>
    <row r="10" spans="1:45" ht="11.25" customHeight="1" x14ac:dyDescent="0.25">
      <c r="B10" s="38" t="s">
        <v>272</v>
      </c>
      <c r="L10" s="175" t="s">
        <v>484</v>
      </c>
      <c r="M10" s="175" t="s">
        <v>487</v>
      </c>
      <c r="N10" s="175" t="s">
        <v>490</v>
      </c>
      <c r="O10" s="175" t="s">
        <v>494</v>
      </c>
      <c r="P10" s="175" t="s">
        <v>496</v>
      </c>
      <c r="Q10" s="337" t="s">
        <v>512</v>
      </c>
      <c r="R10" s="175" t="s">
        <v>510</v>
      </c>
      <c r="S10" s="175" t="s">
        <v>500</v>
      </c>
      <c r="T10" s="175" t="s">
        <v>329</v>
      </c>
      <c r="U10" s="175" t="s">
        <v>69</v>
      </c>
      <c r="V10" s="200"/>
      <c r="W10" s="175"/>
      <c r="X10" s="175"/>
      <c r="Y10" s="200"/>
      <c r="Z10" s="200"/>
      <c r="AA10" s="200"/>
      <c r="AB10" s="200"/>
      <c r="AC10" s="200"/>
      <c r="AD10" s="200"/>
      <c r="AE10" s="175"/>
      <c r="AF10" s="201"/>
      <c r="AH10" s="2" t="s">
        <v>457</v>
      </c>
      <c r="AI10" s="27">
        <f>IF(AM14=0,M27,IF(AM14&gt;0,0,0))</f>
        <v>0</v>
      </c>
      <c r="AO10" s="31" t="s">
        <v>272</v>
      </c>
      <c r="AP10" s="96">
        <f>'Gefestigte LG'!BL65</f>
        <v>0</v>
      </c>
    </row>
    <row r="11" spans="1:45" x14ac:dyDescent="0.2">
      <c r="L11" s="199" t="s">
        <v>485</v>
      </c>
      <c r="M11" s="199" t="s">
        <v>488</v>
      </c>
      <c r="N11" s="199" t="s">
        <v>491</v>
      </c>
      <c r="O11" s="199" t="s">
        <v>495</v>
      </c>
      <c r="P11" s="199" t="s">
        <v>497</v>
      </c>
      <c r="Q11" s="338"/>
      <c r="R11" s="199" t="s">
        <v>511</v>
      </c>
      <c r="S11" s="199" t="s">
        <v>501</v>
      </c>
      <c r="T11" s="199" t="s">
        <v>514</v>
      </c>
      <c r="U11" s="199" t="s">
        <v>518</v>
      </c>
      <c r="V11" s="202"/>
      <c r="W11" s="199"/>
      <c r="X11" s="199"/>
      <c r="Y11" s="202"/>
      <c r="Z11" s="202"/>
      <c r="AA11" s="202"/>
      <c r="AB11" s="202"/>
      <c r="AC11" s="202"/>
      <c r="AD11" s="202"/>
      <c r="AE11" s="199"/>
      <c r="AF11" s="203"/>
      <c r="AH11" s="2" t="s">
        <v>455</v>
      </c>
      <c r="AI11" s="27">
        <f>AI9+AI10</f>
        <v>0</v>
      </c>
      <c r="AO11" s="31" t="s">
        <v>590</v>
      </c>
      <c r="AP11" s="96">
        <f>'Gefestigte LG'!BN65</f>
        <v>0</v>
      </c>
    </row>
    <row r="12" spans="1:45" x14ac:dyDescent="0.2">
      <c r="E12" s="31" t="s">
        <v>103</v>
      </c>
      <c r="F12" s="31" t="s">
        <v>104</v>
      </c>
      <c r="L12" s="199" t="s">
        <v>486</v>
      </c>
      <c r="M12" s="199" t="s">
        <v>504</v>
      </c>
      <c r="N12" s="199" t="s">
        <v>492</v>
      </c>
      <c r="O12" s="199" t="s">
        <v>293</v>
      </c>
      <c r="P12" s="199" t="s">
        <v>498</v>
      </c>
      <c r="Q12" s="338"/>
      <c r="R12" s="199" t="s">
        <v>513</v>
      </c>
      <c r="S12" s="199" t="s">
        <v>502</v>
      </c>
      <c r="T12" s="199" t="s">
        <v>515</v>
      </c>
      <c r="U12" s="199" t="s">
        <v>489</v>
      </c>
      <c r="V12" s="202"/>
      <c r="W12" s="199"/>
      <c r="X12" s="199"/>
      <c r="Y12" s="202"/>
      <c r="Z12" s="202" t="s">
        <v>103</v>
      </c>
      <c r="AA12" s="202"/>
      <c r="AB12" s="202"/>
      <c r="AC12" s="202"/>
      <c r="AD12" s="202" t="s">
        <v>104</v>
      </c>
      <c r="AE12" s="340" t="s">
        <v>301</v>
      </c>
      <c r="AF12" s="341"/>
      <c r="AG12" s="96">
        <f>'Gefestigte LG'!T39</f>
        <v>0</v>
      </c>
    </row>
    <row r="13" spans="1:45" x14ac:dyDescent="0.2">
      <c r="B13" s="31" t="s">
        <v>525</v>
      </c>
      <c r="C13" s="31" t="s">
        <v>257</v>
      </c>
      <c r="L13" s="199" t="s">
        <v>291</v>
      </c>
      <c r="M13" s="199"/>
      <c r="N13" s="199" t="s">
        <v>493</v>
      </c>
      <c r="O13" s="204" t="s">
        <v>505</v>
      </c>
      <c r="P13" s="199" t="s">
        <v>499</v>
      </c>
      <c r="Q13" s="338"/>
      <c r="R13" s="199"/>
      <c r="S13" s="199" t="s">
        <v>503</v>
      </c>
      <c r="T13" s="199" t="s">
        <v>516</v>
      </c>
      <c r="U13" s="199"/>
      <c r="V13" s="202"/>
      <c r="W13" s="199" t="s">
        <v>272</v>
      </c>
      <c r="X13" s="199" t="s">
        <v>272</v>
      </c>
      <c r="Y13" s="202"/>
      <c r="Z13" s="203"/>
      <c r="AA13" s="202" t="s">
        <v>304</v>
      </c>
      <c r="AB13" s="202" t="s">
        <v>302</v>
      </c>
      <c r="AC13" s="202">
        <v>50</v>
      </c>
      <c r="AD13" s="202"/>
      <c r="AE13" s="199" t="s">
        <v>103</v>
      </c>
      <c r="AF13" s="203" t="s">
        <v>104</v>
      </c>
      <c r="AH13" s="2" t="s">
        <v>330</v>
      </c>
      <c r="AI13" s="274">
        <f>IF(AJ13&gt;0,AH13,0)</f>
        <v>0</v>
      </c>
      <c r="AJ13" s="27">
        <f>AO27</f>
        <v>0</v>
      </c>
      <c r="AL13" s="274"/>
      <c r="AM13" s="274"/>
      <c r="AO13" s="31" t="s">
        <v>591</v>
      </c>
      <c r="AP13" s="31" t="s">
        <v>592</v>
      </c>
      <c r="AQ13" s="31" t="s">
        <v>593</v>
      </c>
      <c r="AR13" s="31" t="s">
        <v>594</v>
      </c>
      <c r="AS13" s="31" t="s">
        <v>595</v>
      </c>
    </row>
    <row r="14" spans="1:45" x14ac:dyDescent="0.2">
      <c r="A14" s="31" t="s">
        <v>306</v>
      </c>
      <c r="B14" s="198"/>
      <c r="C14" s="198" t="s">
        <v>256</v>
      </c>
      <c r="D14" s="31" t="s">
        <v>23</v>
      </c>
      <c r="E14" s="31" t="s">
        <v>18</v>
      </c>
      <c r="F14" s="97" t="s">
        <v>19</v>
      </c>
      <c r="G14" s="31" t="s">
        <v>20</v>
      </c>
      <c r="H14" s="97" t="s">
        <v>290</v>
      </c>
      <c r="I14" s="31" t="s">
        <v>104</v>
      </c>
      <c r="J14" s="198" t="s">
        <v>103</v>
      </c>
      <c r="K14" s="318" t="s">
        <v>104</v>
      </c>
      <c r="L14" s="176" t="s">
        <v>292</v>
      </c>
      <c r="M14" s="176" t="s">
        <v>292</v>
      </c>
      <c r="N14" s="176" t="s">
        <v>294</v>
      </c>
      <c r="O14" s="176"/>
      <c r="P14" s="176" t="s">
        <v>506</v>
      </c>
      <c r="Q14" s="339"/>
      <c r="R14" s="176"/>
      <c r="S14" s="176" t="s">
        <v>603</v>
      </c>
      <c r="T14" s="176" t="s">
        <v>517</v>
      </c>
      <c r="U14" s="176"/>
      <c r="V14" s="205" t="s">
        <v>252</v>
      </c>
      <c r="W14" s="176"/>
      <c r="X14" s="176"/>
      <c r="Y14" s="205"/>
      <c r="Z14" s="206"/>
      <c r="AA14" s="205"/>
      <c r="AB14" s="205"/>
      <c r="AC14" s="205">
        <v>100</v>
      </c>
      <c r="AD14" s="205"/>
      <c r="AE14" s="176"/>
      <c r="AF14" s="206"/>
      <c r="AH14" s="2" t="s">
        <v>334</v>
      </c>
      <c r="AI14" s="2">
        <f t="shared" ref="AI14:AI17" si="0">IF(AJ14&gt;0,AH14,0)</f>
        <v>0</v>
      </c>
      <c r="AJ14" s="27">
        <f>AP27</f>
        <v>0</v>
      </c>
      <c r="AL14" s="274"/>
      <c r="AM14" s="274"/>
    </row>
    <row r="15" spans="1:45" x14ac:dyDescent="0.2">
      <c r="B15" s="31">
        <f>Erfassung!B13</f>
        <v>0</v>
      </c>
      <c r="C15" s="95">
        <f>Erfassung!D13</f>
        <v>0</v>
      </c>
      <c r="D15" s="95">
        <f>Erfassung!E13</f>
        <v>0</v>
      </c>
      <c r="E15" s="31">
        <f>Erfassung!F13</f>
        <v>0</v>
      </c>
      <c r="F15" s="31">
        <f>Erfassung!G13</f>
        <v>0</v>
      </c>
      <c r="G15" s="31">
        <f>Erfassung!H13</f>
        <v>0</v>
      </c>
      <c r="H15" s="31">
        <f>Erfassung!I13</f>
        <v>0</v>
      </c>
      <c r="I15" s="31">
        <f>Erfassung!J13</f>
        <v>0</v>
      </c>
      <c r="J15" s="317">
        <f>IF(OR(E15&lt;&gt;0,F15&lt;&gt;0,G15&lt;&gt;0,H15&lt;&gt;0),"x",0)</f>
        <v>0</v>
      </c>
      <c r="K15" s="317">
        <f>IF(I15&lt;&gt;0,"x",0)</f>
        <v>0</v>
      </c>
      <c r="L15" s="208"/>
      <c r="M15" s="208"/>
      <c r="N15" s="197">
        <f>L15+M15</f>
        <v>0</v>
      </c>
      <c r="O15" s="210"/>
      <c r="P15" s="211"/>
      <c r="Q15" s="212"/>
      <c r="R15" s="213"/>
      <c r="S15" s="207"/>
      <c r="T15" s="207"/>
      <c r="U15" s="207"/>
      <c r="V15" s="96"/>
      <c r="W15" s="314">
        <f>N15+SUM(S15:V15)</f>
        <v>0</v>
      </c>
      <c r="X15" s="195">
        <f>IF(AN15&lt;&gt;0,W15,0)</f>
        <v>0</v>
      </c>
      <c r="Y15" s="174">
        <f t="shared" ref="Y15:Y26" si="1">IF(AND(N15&gt;0,O15&gt;0),O15,IF(AND(N15&gt;0,P15&gt;0),P15/$AA$7*100,IF(AND(N15&gt;0,O15&gt;0,P15&gt;0),O15,0)))</f>
        <v>0</v>
      </c>
      <c r="Z15" s="195">
        <f ca="1">IF(AND(I15=0,Y15&gt;0,$N$27&lt;$AO$7),ROUND($AA$2/100*Y15*20,0)/20,0)</f>
        <v>0</v>
      </c>
      <c r="AA15" s="195">
        <f>IF(AND(N15&gt;=$AA$9,I15&lt;&gt;0,Y15&lt;50,Q15=0,R15&gt;0,R15&gt;=$AA$4,R15&lt;=$AA$8,AN15&lt;&gt;0),R15,IF(AND(I15&lt;&gt;0,N15&gt;=$AA$9,Y15&lt;50,Q15=0,R15&lt;$AA$4,AN15&lt;&gt;0),$AA$4,IF(AND(I15&lt;&gt;0,N15&gt;=$AA$9,Y15&lt;50,Q15=0,R15&gt;$AA$8,AN15&lt;&gt;0),$AA$8,0)))</f>
        <v>0</v>
      </c>
      <c r="AB15" s="195">
        <f>IF(AND(I15&lt;&gt;0,N15&gt;$AA$9,Q15&lt;&gt;0,R15&lt;$AA$8,AN15&lt;&gt;0),$AA$8,IF(AND(I15&lt;&gt;0,N15&gt;$AA$9,Q15&lt;&gt;0,R15=$AA$8,AN15&lt;&gt;0),R15,IF(AND(I15&lt;&gt;0,N15&gt;$AA$9,Q15&lt;&gt;0,R15&gt;$AA$8,AN15&lt;&gt;0),$AA$8,0)))</f>
        <v>0</v>
      </c>
      <c r="AC15" s="195">
        <f>IF(AND(I15&lt;&gt;0,N15&gt;0,Y15&gt;=$AC$13,Q15=0,R15&lt;=$AA$8,AN15&lt;&gt;0),$AA$8,IF(AND(I15&lt;&gt;0,N15&gt;$AA$9,Y15&gt;=$AC$13,Q15=0,R15&gt;=$AA$8,R15&lt;=$AA$5,AN15&lt;&gt;0),R15,IF(AND(I15&lt;&gt;0,N15&gt;$AA$9,Y15&gt;=$AC$13,Q15=0,R15&gt;$AA$5,AN15&lt;&gt;0),$AA$5,0)))</f>
        <v>0</v>
      </c>
      <c r="AD15" s="195">
        <f>SUM(AA15:AC15)</f>
        <v>0</v>
      </c>
      <c r="AE15" s="195">
        <f>IF($N$27&lt;$AG$12,Z15,0)</f>
        <v>0</v>
      </c>
      <c r="AF15" s="195">
        <f>IF($N$27&lt;$AG$12,AD15,0)</f>
        <v>0</v>
      </c>
      <c r="AG15" s="27">
        <f>SUM(AE15:AF15)</f>
        <v>0</v>
      </c>
      <c r="AH15" s="2" t="s">
        <v>331</v>
      </c>
      <c r="AI15" s="2">
        <f t="shared" si="0"/>
        <v>0</v>
      </c>
      <c r="AJ15" s="27">
        <f>AQ27</f>
        <v>0</v>
      </c>
      <c r="AN15" s="283">
        <f>Erfassung!M13</f>
        <v>0</v>
      </c>
      <c r="AO15" s="31">
        <f>IF($AN15&lt;&gt;0,N15,0)</f>
        <v>0</v>
      </c>
      <c r="AP15" s="276">
        <f>IF($AN15&lt;&gt;0,S15,0)</f>
        <v>0</v>
      </c>
      <c r="AQ15" s="276">
        <f>IF($AN15&lt;&gt;0,T15,0)</f>
        <v>0</v>
      </c>
      <c r="AR15" s="276">
        <f>IF($AN15&lt;&gt;0,U15,0)</f>
        <v>0</v>
      </c>
      <c r="AS15" s="276">
        <f t="shared" ref="AS15" si="2">IF($AN15&lt;&gt;0,R15,0)</f>
        <v>0</v>
      </c>
    </row>
    <row r="16" spans="1:45" x14ac:dyDescent="0.2">
      <c r="B16" s="31">
        <f>Erfassung!B14</f>
        <v>0</v>
      </c>
      <c r="C16" s="95">
        <f>Erfassung!D14</f>
        <v>0</v>
      </c>
      <c r="D16" s="95">
        <f>Erfassung!E14</f>
        <v>0</v>
      </c>
      <c r="E16" s="31">
        <f>Erfassung!F14</f>
        <v>0</v>
      </c>
      <c r="F16" s="31">
        <f>Erfassung!G14</f>
        <v>0</v>
      </c>
      <c r="G16" s="31">
        <f>Erfassung!H14</f>
        <v>0</v>
      </c>
      <c r="H16" s="31">
        <f>Erfassung!I14</f>
        <v>0</v>
      </c>
      <c r="I16" s="31">
        <f>Erfassung!J14</f>
        <v>0</v>
      </c>
      <c r="J16" s="317">
        <f t="shared" ref="J16:J26" si="3">IF(OR(E16&lt;&gt;0,F16&lt;&gt;0,G16&lt;&gt;0,H16&lt;&gt;0),"x",0)</f>
        <v>0</v>
      </c>
      <c r="K16" s="317">
        <f t="shared" ref="K16:K26" si="4">IF(I16&lt;&gt;0,"x",0)</f>
        <v>0</v>
      </c>
      <c r="L16" s="208"/>
      <c r="M16" s="208"/>
      <c r="N16" s="98">
        <f t="shared" ref="N16:N26" si="5">L16+M16</f>
        <v>0</v>
      </c>
      <c r="O16" s="124"/>
      <c r="P16" s="214"/>
      <c r="Q16" s="215"/>
      <c r="R16" s="216"/>
      <c r="S16" s="208"/>
      <c r="T16" s="208"/>
      <c r="U16" s="208"/>
      <c r="V16" s="96"/>
      <c r="W16" s="19">
        <f t="shared" ref="W16:W26" si="6">N16+SUM(S16:V16)</f>
        <v>0</v>
      </c>
      <c r="X16" s="195">
        <f t="shared" ref="X16:X26" si="7">IF(AN16&lt;&gt;0,W16,0)</f>
        <v>0</v>
      </c>
      <c r="Y16" s="107">
        <f t="shared" si="1"/>
        <v>0</v>
      </c>
      <c r="Z16" s="195">
        <f t="shared" ref="Z16:Z26" ca="1" si="8">IF(AND(I16=0,Y16&gt;0,$N$27&lt;$AO$7),ROUND($AA$2/100*Y16*20,0)/20,0)</f>
        <v>0</v>
      </c>
      <c r="AA16" s="195">
        <f t="shared" ref="AA16:AA26" si="9">IF(AND(N16&gt;=$AA$9,I16&lt;&gt;0,Y16&lt;50,Q16=0,R16&gt;0,R16&gt;=$AA$4,R16&lt;=$AA$8,AN16&lt;&gt;0),R16,IF(AND(I16&lt;&gt;0,N16&gt;=$AA$9,Y16&lt;50,Q16=0,R16&lt;$AA$4,AN16&lt;&gt;0),$AA$4,IF(AND(I16&lt;&gt;0,N16&gt;=$AA$9,Y16&lt;50,Q16=0,R16&gt;$AA$8,AN16&lt;&gt;0),$AA$8,0)))</f>
        <v>0</v>
      </c>
      <c r="AB16" s="195">
        <f t="shared" ref="AB16:AB26" si="10">IF(AND(I16&lt;&gt;0,N16&gt;$AA$9,Q16&lt;&gt;0,R16&lt;$AA$8,AN16&lt;&gt;0),$AA$8,IF(AND(I16&lt;&gt;0,N16&gt;$AA$9,Q16&lt;&gt;0,R16=$AA$8,AN16&lt;&gt;0),R16,IF(AND(I16&lt;&gt;0,N16&gt;$AA$9,Q16&lt;&gt;0,R16&gt;$AA$8,AN16&lt;&gt;0),$AA$8,0)))</f>
        <v>0</v>
      </c>
      <c r="AC16" s="195">
        <f t="shared" ref="AC16:AC26" si="11">IF(AND(I16&lt;&gt;0,N16&gt;0,Y16&gt;=$AC$13,Q16=0,R16&lt;=$AA$8,AN16&lt;&gt;0),$AA$8,IF(AND(I16&lt;&gt;0,N16&gt;$AA$9,Y16&gt;=$AC$13,Q16=0,R16&gt;=$AA$8,R16&lt;=$AA$5,AN16&lt;&gt;0),R16,IF(AND(I16&lt;&gt;0,N16&gt;$AA$9,Y16&gt;=$AC$13,Q16=0,R16&gt;$AA$5,AN16&lt;&gt;0),$AA$5,0)))</f>
        <v>0</v>
      </c>
      <c r="AD16" s="39">
        <f t="shared" ref="AD16:AD26" si="12">SUM(AA16:AC16)</f>
        <v>0</v>
      </c>
      <c r="AE16" s="195">
        <f t="shared" ref="AE16:AE26" si="13">IF($N$27&lt;$AG$12,Z16,0)</f>
        <v>0</v>
      </c>
      <c r="AF16" s="195">
        <f t="shared" ref="AF16:AF26" si="14">IF($N$27&lt;$AG$12,AD16,0)</f>
        <v>0</v>
      </c>
      <c r="AG16" s="27">
        <f t="shared" ref="AG16:AG26" si="15">SUM(AE16:AF16)</f>
        <v>0</v>
      </c>
      <c r="AH16" s="2" t="s">
        <v>332</v>
      </c>
      <c r="AI16" s="2">
        <f t="shared" si="0"/>
        <v>0</v>
      </c>
      <c r="AJ16" s="27">
        <f>AR27</f>
        <v>0</v>
      </c>
      <c r="AN16" s="283">
        <f>Erfassung!M14</f>
        <v>0</v>
      </c>
      <c r="AO16" s="276">
        <f t="shared" ref="AO16:AO26" si="16">IF($AN16&lt;&gt;0,N16,0)</f>
        <v>0</v>
      </c>
      <c r="AP16" s="276">
        <f t="shared" ref="AP16:AP26" si="17">IF($AN16&lt;&gt;0,S16,0)</f>
        <v>0</v>
      </c>
      <c r="AQ16" s="276">
        <f t="shared" ref="AQ16:AQ26" si="18">IF($AN16&lt;&gt;0,T16,0)</f>
        <v>0</v>
      </c>
      <c r="AR16" s="276">
        <f t="shared" ref="AR16:AR26" si="19">IF($AN16&lt;&gt;0,U16,0)</f>
        <v>0</v>
      </c>
      <c r="AS16" s="276">
        <f t="shared" ref="AS16:AS26" si="20">IF($AN16&lt;&gt;0,R16,0)</f>
        <v>0</v>
      </c>
    </row>
    <row r="17" spans="2:45" x14ac:dyDescent="0.2">
      <c r="B17" s="31">
        <f>Erfassung!B15</f>
        <v>0</v>
      </c>
      <c r="C17" s="95">
        <f>Erfassung!D15</f>
        <v>0</v>
      </c>
      <c r="D17" s="95">
        <f>Erfassung!E15</f>
        <v>0</v>
      </c>
      <c r="E17" s="31">
        <f>Erfassung!F15</f>
        <v>0</v>
      </c>
      <c r="F17" s="31">
        <f>Erfassung!G15</f>
        <v>0</v>
      </c>
      <c r="G17" s="31">
        <f>Erfassung!H15</f>
        <v>0</v>
      </c>
      <c r="H17" s="31">
        <f>Erfassung!I15</f>
        <v>0</v>
      </c>
      <c r="I17" s="31">
        <f>Erfassung!J15</f>
        <v>0</v>
      </c>
      <c r="J17" s="317">
        <f t="shared" si="3"/>
        <v>0</v>
      </c>
      <c r="K17" s="317">
        <f t="shared" si="4"/>
        <v>0</v>
      </c>
      <c r="L17" s="208"/>
      <c r="M17" s="208"/>
      <c r="N17" s="98">
        <f t="shared" si="5"/>
        <v>0</v>
      </c>
      <c r="O17" s="124"/>
      <c r="P17" s="124"/>
      <c r="Q17" s="217"/>
      <c r="R17" s="218"/>
      <c r="S17" s="208"/>
      <c r="T17" s="208"/>
      <c r="U17" s="208"/>
      <c r="V17" s="96"/>
      <c r="W17" s="19">
        <f t="shared" si="6"/>
        <v>0</v>
      </c>
      <c r="X17" s="195">
        <f t="shared" si="7"/>
        <v>0</v>
      </c>
      <c r="Y17" s="107">
        <f t="shared" si="1"/>
        <v>0</v>
      </c>
      <c r="Z17" s="195">
        <f t="shared" ca="1" si="8"/>
        <v>0</v>
      </c>
      <c r="AA17" s="195">
        <f t="shared" si="9"/>
        <v>0</v>
      </c>
      <c r="AB17" s="195">
        <f t="shared" si="10"/>
        <v>0</v>
      </c>
      <c r="AC17" s="195">
        <f t="shared" si="11"/>
        <v>0</v>
      </c>
      <c r="AD17" s="39">
        <f t="shared" si="12"/>
        <v>0</v>
      </c>
      <c r="AE17" s="195">
        <f t="shared" si="13"/>
        <v>0</v>
      </c>
      <c r="AF17" s="195">
        <f t="shared" si="14"/>
        <v>0</v>
      </c>
      <c r="AG17" s="27">
        <f t="shared" si="15"/>
        <v>0</v>
      </c>
      <c r="AH17" s="2" t="s">
        <v>588</v>
      </c>
      <c r="AI17" s="274">
        <f t="shared" si="0"/>
        <v>0</v>
      </c>
      <c r="AJ17" s="31">
        <f>IF(AP11&gt;0,AP11,0)</f>
        <v>0</v>
      </c>
      <c r="AN17" s="283">
        <f>Erfassung!M15</f>
        <v>0</v>
      </c>
      <c r="AO17" s="276">
        <f t="shared" si="16"/>
        <v>0</v>
      </c>
      <c r="AP17" s="276">
        <f t="shared" si="17"/>
        <v>0</v>
      </c>
      <c r="AQ17" s="276">
        <f t="shared" si="18"/>
        <v>0</v>
      </c>
      <c r="AR17" s="276">
        <f t="shared" si="19"/>
        <v>0</v>
      </c>
      <c r="AS17" s="276">
        <f t="shared" si="20"/>
        <v>0</v>
      </c>
    </row>
    <row r="18" spans="2:45" x14ac:dyDescent="0.2">
      <c r="B18" s="31">
        <f>Erfassung!B16</f>
        <v>0</v>
      </c>
      <c r="C18" s="95">
        <f>Erfassung!D16</f>
        <v>0</v>
      </c>
      <c r="D18" s="95">
        <f>Erfassung!E16</f>
        <v>0</v>
      </c>
      <c r="E18" s="31">
        <f>Erfassung!F16</f>
        <v>0</v>
      </c>
      <c r="F18" s="31">
        <f>Erfassung!G16</f>
        <v>0</v>
      </c>
      <c r="G18" s="31">
        <f>Erfassung!H16</f>
        <v>0</v>
      </c>
      <c r="H18" s="31">
        <f>Erfassung!I16</f>
        <v>0</v>
      </c>
      <c r="I18" s="31">
        <f>Erfassung!J16</f>
        <v>0</v>
      </c>
      <c r="J18" s="317">
        <f t="shared" si="3"/>
        <v>0</v>
      </c>
      <c r="K18" s="317">
        <f t="shared" si="4"/>
        <v>0</v>
      </c>
      <c r="L18" s="208"/>
      <c r="M18" s="208"/>
      <c r="N18" s="98">
        <f t="shared" si="5"/>
        <v>0</v>
      </c>
      <c r="O18" s="124"/>
      <c r="P18" s="124"/>
      <c r="Q18" s="217"/>
      <c r="R18" s="218"/>
      <c r="S18" s="208"/>
      <c r="T18" s="208"/>
      <c r="U18" s="208"/>
      <c r="V18" s="96"/>
      <c r="W18" s="19">
        <f t="shared" si="6"/>
        <v>0</v>
      </c>
      <c r="X18" s="195">
        <f t="shared" si="7"/>
        <v>0</v>
      </c>
      <c r="Y18" s="107">
        <f t="shared" si="1"/>
        <v>0</v>
      </c>
      <c r="Z18" s="195">
        <f t="shared" ca="1" si="8"/>
        <v>0</v>
      </c>
      <c r="AA18" s="195">
        <f t="shared" si="9"/>
        <v>0</v>
      </c>
      <c r="AB18" s="195">
        <f t="shared" si="10"/>
        <v>0</v>
      </c>
      <c r="AC18" s="195">
        <f t="shared" si="11"/>
        <v>0</v>
      </c>
      <c r="AD18" s="39">
        <f t="shared" si="12"/>
        <v>0</v>
      </c>
      <c r="AE18" s="195">
        <f t="shared" si="13"/>
        <v>0</v>
      </c>
      <c r="AF18" s="195">
        <f t="shared" si="14"/>
        <v>0</v>
      </c>
      <c r="AG18" s="27">
        <f t="shared" si="15"/>
        <v>0</v>
      </c>
      <c r="AN18" s="283">
        <f>Erfassung!M16</f>
        <v>0</v>
      </c>
      <c r="AO18" s="276">
        <f t="shared" si="16"/>
        <v>0</v>
      </c>
      <c r="AP18" s="276">
        <f t="shared" si="17"/>
        <v>0</v>
      </c>
      <c r="AQ18" s="276">
        <f t="shared" si="18"/>
        <v>0</v>
      </c>
      <c r="AR18" s="276">
        <f t="shared" si="19"/>
        <v>0</v>
      </c>
      <c r="AS18" s="276">
        <f t="shared" si="20"/>
        <v>0</v>
      </c>
    </row>
    <row r="19" spans="2:45" x14ac:dyDescent="0.2">
      <c r="B19" s="31">
        <f>Erfassung!B17</f>
        <v>0</v>
      </c>
      <c r="C19" s="95">
        <f>Erfassung!D17</f>
        <v>0</v>
      </c>
      <c r="D19" s="95">
        <f>Erfassung!E17</f>
        <v>0</v>
      </c>
      <c r="E19" s="31">
        <f>Erfassung!F17</f>
        <v>0</v>
      </c>
      <c r="F19" s="31">
        <f>Erfassung!G17</f>
        <v>0</v>
      </c>
      <c r="G19" s="31">
        <f>Erfassung!H17</f>
        <v>0</v>
      </c>
      <c r="H19" s="31">
        <f>Erfassung!I17</f>
        <v>0</v>
      </c>
      <c r="I19" s="31">
        <f>Erfassung!J17</f>
        <v>0</v>
      </c>
      <c r="J19" s="317">
        <f t="shared" si="3"/>
        <v>0</v>
      </c>
      <c r="K19" s="317">
        <f t="shared" si="4"/>
        <v>0</v>
      </c>
      <c r="L19" s="208"/>
      <c r="M19" s="208"/>
      <c r="N19" s="98">
        <f t="shared" si="5"/>
        <v>0</v>
      </c>
      <c r="O19" s="124"/>
      <c r="P19" s="124"/>
      <c r="Q19" s="217"/>
      <c r="R19" s="218"/>
      <c r="S19" s="208"/>
      <c r="T19" s="208"/>
      <c r="U19" s="208"/>
      <c r="V19" s="96"/>
      <c r="W19" s="19">
        <f t="shared" si="6"/>
        <v>0</v>
      </c>
      <c r="X19" s="195">
        <f t="shared" si="7"/>
        <v>0</v>
      </c>
      <c r="Y19" s="107">
        <f t="shared" si="1"/>
        <v>0</v>
      </c>
      <c r="Z19" s="195">
        <f t="shared" ca="1" si="8"/>
        <v>0</v>
      </c>
      <c r="AA19" s="195">
        <f t="shared" si="9"/>
        <v>0</v>
      </c>
      <c r="AB19" s="195">
        <f t="shared" si="10"/>
        <v>0</v>
      </c>
      <c r="AC19" s="195">
        <f t="shared" si="11"/>
        <v>0</v>
      </c>
      <c r="AD19" s="39">
        <f t="shared" si="12"/>
        <v>0</v>
      </c>
      <c r="AE19" s="195">
        <f t="shared" si="13"/>
        <v>0</v>
      </c>
      <c r="AF19" s="195">
        <f t="shared" si="14"/>
        <v>0</v>
      </c>
      <c r="AG19" s="27">
        <f t="shared" si="15"/>
        <v>0</v>
      </c>
      <c r="AN19" s="283">
        <f>Erfassung!M17</f>
        <v>0</v>
      </c>
      <c r="AO19" s="276">
        <f t="shared" si="16"/>
        <v>0</v>
      </c>
      <c r="AP19" s="276">
        <f t="shared" si="17"/>
        <v>0</v>
      </c>
      <c r="AQ19" s="276">
        <f t="shared" si="18"/>
        <v>0</v>
      </c>
      <c r="AR19" s="276">
        <f t="shared" si="19"/>
        <v>0</v>
      </c>
      <c r="AS19" s="276">
        <f t="shared" si="20"/>
        <v>0</v>
      </c>
    </row>
    <row r="20" spans="2:45" x14ac:dyDescent="0.2">
      <c r="B20" s="31">
        <f>Erfassung!B18</f>
        <v>0</v>
      </c>
      <c r="C20" s="95">
        <f>Erfassung!D18</f>
        <v>0</v>
      </c>
      <c r="D20" s="95">
        <f>Erfassung!E18</f>
        <v>0</v>
      </c>
      <c r="E20" s="31">
        <f>Erfassung!F18</f>
        <v>0</v>
      </c>
      <c r="F20" s="31">
        <f>Erfassung!G18</f>
        <v>0</v>
      </c>
      <c r="G20" s="31">
        <f>Erfassung!H18</f>
        <v>0</v>
      </c>
      <c r="H20" s="31">
        <f>Erfassung!I18</f>
        <v>0</v>
      </c>
      <c r="I20" s="31">
        <f>Erfassung!J18</f>
        <v>0</v>
      </c>
      <c r="J20" s="317">
        <f t="shared" si="3"/>
        <v>0</v>
      </c>
      <c r="K20" s="317">
        <f t="shared" si="4"/>
        <v>0</v>
      </c>
      <c r="L20" s="208"/>
      <c r="M20" s="208"/>
      <c r="N20" s="98">
        <f t="shared" si="5"/>
        <v>0</v>
      </c>
      <c r="O20" s="124"/>
      <c r="P20" s="124"/>
      <c r="Q20" s="217"/>
      <c r="R20" s="218"/>
      <c r="S20" s="208"/>
      <c r="T20" s="208"/>
      <c r="U20" s="208"/>
      <c r="V20" s="96"/>
      <c r="W20" s="19">
        <f t="shared" si="6"/>
        <v>0</v>
      </c>
      <c r="X20" s="195">
        <f t="shared" si="7"/>
        <v>0</v>
      </c>
      <c r="Y20" s="107">
        <f t="shared" si="1"/>
        <v>0</v>
      </c>
      <c r="Z20" s="195">
        <f t="shared" ca="1" si="8"/>
        <v>0</v>
      </c>
      <c r="AA20" s="195">
        <f t="shared" si="9"/>
        <v>0</v>
      </c>
      <c r="AB20" s="195">
        <f t="shared" si="10"/>
        <v>0</v>
      </c>
      <c r="AC20" s="195">
        <f t="shared" si="11"/>
        <v>0</v>
      </c>
      <c r="AD20" s="39">
        <f t="shared" si="12"/>
        <v>0</v>
      </c>
      <c r="AE20" s="195">
        <f t="shared" si="13"/>
        <v>0</v>
      </c>
      <c r="AF20" s="195">
        <f t="shared" si="14"/>
        <v>0</v>
      </c>
      <c r="AG20" s="27">
        <f t="shared" si="15"/>
        <v>0</v>
      </c>
      <c r="AH20" s="2" t="s">
        <v>295</v>
      </c>
      <c r="AI20" s="2">
        <f>IF(AJ20&gt;0,AH20,0)</f>
        <v>0</v>
      </c>
      <c r="AJ20" s="27">
        <f>IF(AF28&gt;0,AF28,0)</f>
        <v>0</v>
      </c>
      <c r="AN20" s="283">
        <f>Erfassung!M18</f>
        <v>0</v>
      </c>
      <c r="AO20" s="276">
        <f t="shared" si="16"/>
        <v>0</v>
      </c>
      <c r="AP20" s="276">
        <f t="shared" si="17"/>
        <v>0</v>
      </c>
      <c r="AQ20" s="276">
        <f t="shared" si="18"/>
        <v>0</v>
      </c>
      <c r="AR20" s="276">
        <f t="shared" si="19"/>
        <v>0</v>
      </c>
      <c r="AS20" s="276">
        <f t="shared" si="20"/>
        <v>0</v>
      </c>
    </row>
    <row r="21" spans="2:45" x14ac:dyDescent="0.2">
      <c r="B21" s="31">
        <f>Erfassung!B19</f>
        <v>0</v>
      </c>
      <c r="C21" s="95">
        <f>Erfassung!D19</f>
        <v>0</v>
      </c>
      <c r="D21" s="95">
        <f>Erfassung!E19</f>
        <v>0</v>
      </c>
      <c r="E21" s="31">
        <f>Erfassung!F19</f>
        <v>0</v>
      </c>
      <c r="F21" s="31">
        <f>Erfassung!G19</f>
        <v>0</v>
      </c>
      <c r="G21" s="31">
        <f>Erfassung!H19</f>
        <v>0</v>
      </c>
      <c r="H21" s="31">
        <f>Erfassung!I19</f>
        <v>0</v>
      </c>
      <c r="I21" s="31">
        <f>Erfassung!J19</f>
        <v>0</v>
      </c>
      <c r="J21" s="317">
        <f t="shared" si="3"/>
        <v>0</v>
      </c>
      <c r="K21" s="317">
        <f t="shared" si="4"/>
        <v>0</v>
      </c>
      <c r="L21" s="208"/>
      <c r="M21" s="208"/>
      <c r="N21" s="98">
        <f t="shared" si="5"/>
        <v>0</v>
      </c>
      <c r="O21" s="124"/>
      <c r="P21" s="124"/>
      <c r="Q21" s="217"/>
      <c r="R21" s="218"/>
      <c r="S21" s="208"/>
      <c r="T21" s="208"/>
      <c r="U21" s="208"/>
      <c r="V21" s="96"/>
      <c r="W21" s="19">
        <f t="shared" si="6"/>
        <v>0</v>
      </c>
      <c r="X21" s="195">
        <f t="shared" si="7"/>
        <v>0</v>
      </c>
      <c r="Y21" s="107">
        <f t="shared" si="1"/>
        <v>0</v>
      </c>
      <c r="Z21" s="195">
        <f t="shared" ca="1" si="8"/>
        <v>0</v>
      </c>
      <c r="AA21" s="195">
        <f t="shared" si="9"/>
        <v>0</v>
      </c>
      <c r="AB21" s="195">
        <f t="shared" si="10"/>
        <v>0</v>
      </c>
      <c r="AC21" s="195">
        <f t="shared" si="11"/>
        <v>0</v>
      </c>
      <c r="AD21" s="39">
        <f t="shared" si="12"/>
        <v>0</v>
      </c>
      <c r="AE21" s="195">
        <f t="shared" si="13"/>
        <v>0</v>
      </c>
      <c r="AF21" s="195">
        <f t="shared" si="14"/>
        <v>0</v>
      </c>
      <c r="AG21" s="27">
        <f t="shared" si="15"/>
        <v>0</v>
      </c>
      <c r="AH21" s="2"/>
      <c r="AN21" s="283">
        <f>Erfassung!M19</f>
        <v>0</v>
      </c>
      <c r="AO21" s="276">
        <f t="shared" si="16"/>
        <v>0</v>
      </c>
      <c r="AP21" s="276">
        <f t="shared" si="17"/>
        <v>0</v>
      </c>
      <c r="AQ21" s="276">
        <f t="shared" si="18"/>
        <v>0</v>
      </c>
      <c r="AR21" s="276">
        <f t="shared" si="19"/>
        <v>0</v>
      </c>
      <c r="AS21" s="276">
        <f t="shared" si="20"/>
        <v>0</v>
      </c>
    </row>
    <row r="22" spans="2:45" x14ac:dyDescent="0.2">
      <c r="B22" s="31">
        <f>Erfassung!B20</f>
        <v>0</v>
      </c>
      <c r="C22" s="95">
        <f>Erfassung!D20</f>
        <v>0</v>
      </c>
      <c r="D22" s="95">
        <f>Erfassung!E20</f>
        <v>0</v>
      </c>
      <c r="E22" s="31">
        <f>Erfassung!F20</f>
        <v>0</v>
      </c>
      <c r="F22" s="31">
        <f>Erfassung!G20</f>
        <v>0</v>
      </c>
      <c r="G22" s="31">
        <f>Erfassung!H20</f>
        <v>0</v>
      </c>
      <c r="H22" s="31">
        <f>Erfassung!I20</f>
        <v>0</v>
      </c>
      <c r="I22" s="31">
        <f>Erfassung!J20</f>
        <v>0</v>
      </c>
      <c r="J22" s="317">
        <f t="shared" si="3"/>
        <v>0</v>
      </c>
      <c r="K22" s="317">
        <f t="shared" si="4"/>
        <v>0</v>
      </c>
      <c r="L22" s="208"/>
      <c r="M22" s="208"/>
      <c r="N22" s="98">
        <f t="shared" si="5"/>
        <v>0</v>
      </c>
      <c r="O22" s="124"/>
      <c r="P22" s="124"/>
      <c r="Q22" s="217"/>
      <c r="R22" s="218"/>
      <c r="S22" s="208"/>
      <c r="T22" s="208"/>
      <c r="U22" s="208"/>
      <c r="V22" s="96"/>
      <c r="W22" s="19">
        <f t="shared" si="6"/>
        <v>0</v>
      </c>
      <c r="X22" s="195">
        <f t="shared" si="7"/>
        <v>0</v>
      </c>
      <c r="Y22" s="107">
        <f t="shared" si="1"/>
        <v>0</v>
      </c>
      <c r="Z22" s="195">
        <f t="shared" ca="1" si="8"/>
        <v>0</v>
      </c>
      <c r="AA22" s="195">
        <f t="shared" si="9"/>
        <v>0</v>
      </c>
      <c r="AB22" s="195">
        <f t="shared" si="10"/>
        <v>0</v>
      </c>
      <c r="AC22" s="195">
        <f t="shared" si="11"/>
        <v>0</v>
      </c>
      <c r="AD22" s="39">
        <f t="shared" si="12"/>
        <v>0</v>
      </c>
      <c r="AE22" s="195">
        <f t="shared" si="13"/>
        <v>0</v>
      </c>
      <c r="AF22" s="195">
        <f t="shared" si="14"/>
        <v>0</v>
      </c>
      <c r="AG22" s="27">
        <f t="shared" si="15"/>
        <v>0</v>
      </c>
      <c r="AH22" s="2"/>
      <c r="AN22" s="283">
        <f>Erfassung!M20</f>
        <v>0</v>
      </c>
      <c r="AO22" s="276">
        <f t="shared" si="16"/>
        <v>0</v>
      </c>
      <c r="AP22" s="276">
        <f t="shared" si="17"/>
        <v>0</v>
      </c>
      <c r="AQ22" s="276">
        <f t="shared" si="18"/>
        <v>0</v>
      </c>
      <c r="AR22" s="276">
        <f t="shared" si="19"/>
        <v>0</v>
      </c>
      <c r="AS22" s="276">
        <f t="shared" si="20"/>
        <v>0</v>
      </c>
    </row>
    <row r="23" spans="2:45" x14ac:dyDescent="0.2">
      <c r="B23" s="31">
        <f>Erfassung!B21</f>
        <v>0</v>
      </c>
      <c r="C23" s="95">
        <f>Erfassung!D21</f>
        <v>0</v>
      </c>
      <c r="D23" s="95">
        <f>Erfassung!E21</f>
        <v>0</v>
      </c>
      <c r="E23" s="31">
        <f>Erfassung!F21</f>
        <v>0</v>
      </c>
      <c r="F23" s="31">
        <f>Erfassung!G21</f>
        <v>0</v>
      </c>
      <c r="G23" s="31">
        <f>Erfassung!H21</f>
        <v>0</v>
      </c>
      <c r="H23" s="31">
        <f>Erfassung!I21</f>
        <v>0</v>
      </c>
      <c r="I23" s="31">
        <f>Erfassung!J21</f>
        <v>0</v>
      </c>
      <c r="J23" s="317">
        <f t="shared" si="3"/>
        <v>0</v>
      </c>
      <c r="K23" s="317">
        <f t="shared" si="4"/>
        <v>0</v>
      </c>
      <c r="L23" s="208"/>
      <c r="M23" s="208"/>
      <c r="N23" s="98">
        <f t="shared" si="5"/>
        <v>0</v>
      </c>
      <c r="O23" s="124"/>
      <c r="P23" s="124"/>
      <c r="Q23" s="217"/>
      <c r="R23" s="218"/>
      <c r="S23" s="208"/>
      <c r="T23" s="208"/>
      <c r="U23" s="208"/>
      <c r="V23" s="96"/>
      <c r="W23" s="19">
        <f t="shared" si="6"/>
        <v>0</v>
      </c>
      <c r="X23" s="195">
        <f t="shared" si="7"/>
        <v>0</v>
      </c>
      <c r="Y23" s="107">
        <f t="shared" si="1"/>
        <v>0</v>
      </c>
      <c r="Z23" s="195">
        <f t="shared" ca="1" si="8"/>
        <v>0</v>
      </c>
      <c r="AA23" s="195">
        <f t="shared" si="9"/>
        <v>0</v>
      </c>
      <c r="AB23" s="195">
        <f t="shared" si="10"/>
        <v>0</v>
      </c>
      <c r="AC23" s="195">
        <f t="shared" si="11"/>
        <v>0</v>
      </c>
      <c r="AD23" s="39">
        <f t="shared" si="12"/>
        <v>0</v>
      </c>
      <c r="AE23" s="195">
        <f t="shared" si="13"/>
        <v>0</v>
      </c>
      <c r="AF23" s="195">
        <f t="shared" si="14"/>
        <v>0</v>
      </c>
      <c r="AG23" s="27">
        <f t="shared" si="15"/>
        <v>0</v>
      </c>
      <c r="AH23" s="2"/>
      <c r="AN23" s="283">
        <f>Erfassung!M21</f>
        <v>0</v>
      </c>
      <c r="AO23" s="276">
        <f t="shared" si="16"/>
        <v>0</v>
      </c>
      <c r="AP23" s="276">
        <f t="shared" si="17"/>
        <v>0</v>
      </c>
      <c r="AQ23" s="276">
        <f t="shared" si="18"/>
        <v>0</v>
      </c>
      <c r="AR23" s="276">
        <f t="shared" si="19"/>
        <v>0</v>
      </c>
      <c r="AS23" s="276">
        <f t="shared" si="20"/>
        <v>0</v>
      </c>
    </row>
    <row r="24" spans="2:45" x14ac:dyDescent="0.2">
      <c r="B24" s="31">
        <f>Erfassung!B22</f>
        <v>0</v>
      </c>
      <c r="C24" s="95">
        <f>Erfassung!D22</f>
        <v>0</v>
      </c>
      <c r="D24" s="95">
        <f>Erfassung!E22</f>
        <v>0</v>
      </c>
      <c r="E24" s="31">
        <f>Erfassung!F22</f>
        <v>0</v>
      </c>
      <c r="F24" s="31">
        <f>Erfassung!G22</f>
        <v>0</v>
      </c>
      <c r="G24" s="31">
        <f>Erfassung!H22</f>
        <v>0</v>
      </c>
      <c r="H24" s="31">
        <f>Erfassung!I22</f>
        <v>0</v>
      </c>
      <c r="I24" s="31">
        <f>Erfassung!J22</f>
        <v>0</v>
      </c>
      <c r="J24" s="317">
        <f t="shared" si="3"/>
        <v>0</v>
      </c>
      <c r="K24" s="317">
        <f t="shared" si="4"/>
        <v>0</v>
      </c>
      <c r="L24" s="208"/>
      <c r="M24" s="208"/>
      <c r="N24" s="98">
        <f t="shared" si="5"/>
        <v>0</v>
      </c>
      <c r="O24" s="124"/>
      <c r="P24" s="124"/>
      <c r="Q24" s="217"/>
      <c r="R24" s="218"/>
      <c r="S24" s="208"/>
      <c r="T24" s="208"/>
      <c r="U24" s="208"/>
      <c r="V24" s="96"/>
      <c r="W24" s="19">
        <f t="shared" si="6"/>
        <v>0</v>
      </c>
      <c r="X24" s="195">
        <f t="shared" si="7"/>
        <v>0</v>
      </c>
      <c r="Y24" s="107">
        <f t="shared" si="1"/>
        <v>0</v>
      </c>
      <c r="Z24" s="195">
        <f t="shared" ca="1" si="8"/>
        <v>0</v>
      </c>
      <c r="AA24" s="195">
        <f t="shared" si="9"/>
        <v>0</v>
      </c>
      <c r="AB24" s="195">
        <f t="shared" si="10"/>
        <v>0</v>
      </c>
      <c r="AC24" s="195">
        <f t="shared" si="11"/>
        <v>0</v>
      </c>
      <c r="AD24" s="39">
        <f t="shared" si="12"/>
        <v>0</v>
      </c>
      <c r="AE24" s="195">
        <f t="shared" si="13"/>
        <v>0</v>
      </c>
      <c r="AF24" s="195">
        <f t="shared" si="14"/>
        <v>0</v>
      </c>
      <c r="AG24" s="27">
        <f t="shared" si="15"/>
        <v>0</v>
      </c>
      <c r="AH24" s="2"/>
      <c r="AI24" s="31">
        <v>1</v>
      </c>
      <c r="AJ24" s="2">
        <f>IF(AND(AI13&lt;&gt;0,AI14=0,AI15=0,AI16=0,AI17=0),AI13,IF(AND(AI13=0,AI14&lt;&gt;0,AI15=0,AI16=0,AI17=0),AI14,IF(AND(AI13=0,AI14=0,AI15&lt;&gt;0,AI16=0,AI17=0),AI15,IF(AND(AI13=0,AI14=0,AI15=0,AI16&lt;&gt;0,AI17=0),AI16,IF(AND(AI13=0,AI14=0,AI15=0,AI16=0,AI17&lt;&gt;0),AI17,0)))))</f>
        <v>0</v>
      </c>
      <c r="AK24" s="27">
        <f>IF(AND(AJ13&lt;&gt;0,AJ14=0,AJ15=0,AJ16=0,AJ17=0),AJ13,IF(AND(AJ13=0,AJ14&lt;&gt;0,AJ15=0,AJ16=0,AJ17=0),AJ14,IF(AND(AJ13=0,AJ14=0,AJ15&lt;&gt;0,AJ16=0,AJ17=0),AJ15,IF(AND(AJ13=0,AJ14=0,AJ15=0,AJ16&lt;&gt;0,AJ17=0),AJ16,IF(AND(AJ13=0,AJ14=0,AJ15=0,AJ16=0,AJ17&lt;&gt;0),AJ17,0)))))</f>
        <v>0</v>
      </c>
      <c r="AN24" s="283">
        <f>Erfassung!M22</f>
        <v>0</v>
      </c>
      <c r="AO24" s="276">
        <f t="shared" si="16"/>
        <v>0</v>
      </c>
      <c r="AP24" s="276">
        <f t="shared" si="17"/>
        <v>0</v>
      </c>
      <c r="AQ24" s="276">
        <f t="shared" si="18"/>
        <v>0</v>
      </c>
      <c r="AR24" s="276">
        <f t="shared" si="19"/>
        <v>0</v>
      </c>
      <c r="AS24" s="276">
        <f t="shared" si="20"/>
        <v>0</v>
      </c>
    </row>
    <row r="25" spans="2:45" x14ac:dyDescent="0.2">
      <c r="B25" s="31">
        <f>Erfassung!B23</f>
        <v>0</v>
      </c>
      <c r="C25" s="95">
        <f>Erfassung!D23</f>
        <v>0</v>
      </c>
      <c r="D25" s="95">
        <f>Erfassung!E23</f>
        <v>0</v>
      </c>
      <c r="E25" s="31">
        <f>Erfassung!F23</f>
        <v>0</v>
      </c>
      <c r="F25" s="31">
        <f>Erfassung!G23</f>
        <v>0</v>
      </c>
      <c r="G25" s="31">
        <f>Erfassung!H23</f>
        <v>0</v>
      </c>
      <c r="H25" s="31">
        <f>Erfassung!I23</f>
        <v>0</v>
      </c>
      <c r="I25" s="31">
        <f>Erfassung!J23</f>
        <v>0</v>
      </c>
      <c r="J25" s="317">
        <f t="shared" si="3"/>
        <v>0</v>
      </c>
      <c r="K25" s="317">
        <f t="shared" si="4"/>
        <v>0</v>
      </c>
      <c r="L25" s="208"/>
      <c r="M25" s="208"/>
      <c r="N25" s="98">
        <f t="shared" si="5"/>
        <v>0</v>
      </c>
      <c r="O25" s="124"/>
      <c r="P25" s="124"/>
      <c r="Q25" s="217"/>
      <c r="R25" s="218"/>
      <c r="S25" s="208"/>
      <c r="T25" s="208"/>
      <c r="U25" s="208"/>
      <c r="V25" s="96"/>
      <c r="W25" s="19">
        <f t="shared" si="6"/>
        <v>0</v>
      </c>
      <c r="X25" s="195">
        <f t="shared" si="7"/>
        <v>0</v>
      </c>
      <c r="Y25" s="107">
        <f t="shared" si="1"/>
        <v>0</v>
      </c>
      <c r="Z25" s="195">
        <f t="shared" ca="1" si="8"/>
        <v>0</v>
      </c>
      <c r="AA25" s="195">
        <f t="shared" si="9"/>
        <v>0</v>
      </c>
      <c r="AB25" s="195">
        <f t="shared" si="10"/>
        <v>0</v>
      </c>
      <c r="AC25" s="195">
        <f t="shared" si="11"/>
        <v>0</v>
      </c>
      <c r="AD25" s="39">
        <f t="shared" si="12"/>
        <v>0</v>
      </c>
      <c r="AE25" s="195">
        <f t="shared" si="13"/>
        <v>0</v>
      </c>
      <c r="AF25" s="195">
        <f t="shared" si="14"/>
        <v>0</v>
      </c>
      <c r="AG25" s="27">
        <f t="shared" si="15"/>
        <v>0</v>
      </c>
      <c r="AH25" s="2"/>
      <c r="AJ25" s="2"/>
      <c r="AK25" s="27"/>
      <c r="AN25" s="283">
        <f>Erfassung!M23</f>
        <v>0</v>
      </c>
      <c r="AO25" s="276">
        <f t="shared" si="16"/>
        <v>0</v>
      </c>
      <c r="AP25" s="276">
        <f t="shared" si="17"/>
        <v>0</v>
      </c>
      <c r="AQ25" s="276">
        <f t="shared" si="18"/>
        <v>0</v>
      </c>
      <c r="AR25" s="276">
        <f t="shared" si="19"/>
        <v>0</v>
      </c>
      <c r="AS25" s="276">
        <f t="shared" si="20"/>
        <v>0</v>
      </c>
    </row>
    <row r="26" spans="2:45" x14ac:dyDescent="0.2">
      <c r="B26" s="31">
        <f>Erfassung!B24</f>
        <v>0</v>
      </c>
      <c r="C26" s="95">
        <f>Erfassung!D24</f>
        <v>0</v>
      </c>
      <c r="D26" s="95">
        <f>Erfassung!E24</f>
        <v>0</v>
      </c>
      <c r="E26" s="31">
        <f>Erfassung!F24</f>
        <v>0</v>
      </c>
      <c r="F26" s="31">
        <f>Erfassung!G24</f>
        <v>0</v>
      </c>
      <c r="G26" s="31">
        <f>Erfassung!H24</f>
        <v>0</v>
      </c>
      <c r="H26" s="31">
        <f>Erfassung!I24</f>
        <v>0</v>
      </c>
      <c r="I26" s="31">
        <f>Erfassung!J24</f>
        <v>0</v>
      </c>
      <c r="J26" s="317">
        <f t="shared" si="3"/>
        <v>0</v>
      </c>
      <c r="K26" s="317">
        <f t="shared" si="4"/>
        <v>0</v>
      </c>
      <c r="L26" s="209"/>
      <c r="M26" s="209"/>
      <c r="N26" s="106">
        <f t="shared" si="5"/>
        <v>0</v>
      </c>
      <c r="O26" s="124"/>
      <c r="P26" s="124"/>
      <c r="Q26" s="217"/>
      <c r="R26" s="218"/>
      <c r="S26" s="209"/>
      <c r="T26" s="209"/>
      <c r="U26" s="209"/>
      <c r="V26" s="96"/>
      <c r="W26" s="19">
        <f t="shared" si="6"/>
        <v>0</v>
      </c>
      <c r="X26" s="195">
        <f t="shared" si="7"/>
        <v>0</v>
      </c>
      <c r="Y26" s="107">
        <f t="shared" si="1"/>
        <v>0</v>
      </c>
      <c r="Z26" s="195">
        <f t="shared" ca="1" si="8"/>
        <v>0</v>
      </c>
      <c r="AA26" s="195">
        <f t="shared" si="9"/>
        <v>0</v>
      </c>
      <c r="AB26" s="195">
        <f t="shared" si="10"/>
        <v>0</v>
      </c>
      <c r="AC26" s="195">
        <f t="shared" si="11"/>
        <v>0</v>
      </c>
      <c r="AD26" s="39">
        <f t="shared" si="12"/>
        <v>0</v>
      </c>
      <c r="AE26" s="195">
        <f t="shared" si="13"/>
        <v>0</v>
      </c>
      <c r="AF26" s="195">
        <f t="shared" si="14"/>
        <v>0</v>
      </c>
      <c r="AG26" s="27">
        <f t="shared" si="15"/>
        <v>0</v>
      </c>
      <c r="AH26" s="2"/>
      <c r="AN26" s="283">
        <f>Erfassung!M24</f>
        <v>0</v>
      </c>
      <c r="AO26" s="276">
        <f t="shared" si="16"/>
        <v>0</v>
      </c>
      <c r="AP26" s="276">
        <f t="shared" si="17"/>
        <v>0</v>
      </c>
      <c r="AQ26" s="276">
        <f t="shared" si="18"/>
        <v>0</v>
      </c>
      <c r="AR26" s="276">
        <f t="shared" si="19"/>
        <v>0</v>
      </c>
      <c r="AS26" s="276">
        <f t="shared" si="20"/>
        <v>0</v>
      </c>
    </row>
    <row r="27" spans="2:45" ht="12" x14ac:dyDescent="0.25">
      <c r="L27" s="40">
        <f>SUM(L15:L26)</f>
        <v>0</v>
      </c>
      <c r="M27" s="40">
        <f t="shared" ref="M27:N27" si="21">SUM(M15:M26)</f>
        <v>0</v>
      </c>
      <c r="N27" s="40">
        <f t="shared" si="21"/>
        <v>0</v>
      </c>
      <c r="S27" s="40">
        <f t="shared" ref="S27:T27" si="22">SUM(S15:S26)</f>
        <v>0</v>
      </c>
      <c r="T27" s="40">
        <f t="shared" si="22"/>
        <v>0</v>
      </c>
      <c r="U27" s="40">
        <f>SUM(U15:U26)</f>
        <v>0</v>
      </c>
      <c r="V27" s="40"/>
      <c r="W27" s="19">
        <f t="shared" ref="W27:X27" si="23">SUM(W15:W26)</f>
        <v>0</v>
      </c>
      <c r="X27" s="315">
        <f t="shared" si="23"/>
        <v>0</v>
      </c>
      <c r="Y27" s="107"/>
      <c r="Z27" s="39">
        <f ca="1">SUM(Z15:Z26)</f>
        <v>0</v>
      </c>
      <c r="AA27" s="107"/>
      <c r="AB27" s="107"/>
      <c r="AC27" s="107"/>
      <c r="AD27" s="39">
        <f>SUM(AD15:AD26)</f>
        <v>0</v>
      </c>
      <c r="AE27" s="39">
        <f>IF(SUM(AE15:AE26)=0,0,IF(SUM(AE15:AE26)&lt;=$AA$3,SUM(AE15:AE26),$AA$3))</f>
        <v>0</v>
      </c>
      <c r="AF27" s="278">
        <f>IF(SUM(AF15:AF26)=0,0,IF(SUM(AF15:AF26)&lt;=$AA$3,SUM(AF15:AF26),$AA$3))</f>
        <v>0</v>
      </c>
      <c r="AH27" s="2"/>
      <c r="AO27" s="31">
        <f>SUM(AO15:AO26)</f>
        <v>0</v>
      </c>
      <c r="AP27" s="276">
        <f t="shared" ref="AP27:AS27" si="24">SUM(AP15:AP26)</f>
        <v>0</v>
      </c>
      <c r="AQ27" s="276">
        <f t="shared" si="24"/>
        <v>0</v>
      </c>
      <c r="AR27" s="276">
        <f t="shared" si="24"/>
        <v>0</v>
      </c>
      <c r="AS27" s="276">
        <f t="shared" si="24"/>
        <v>0</v>
      </c>
    </row>
    <row r="28" spans="2:45" ht="12" x14ac:dyDescent="0.25">
      <c r="R28" s="277">
        <f>IF(AJ17&gt;0,AH17,0)</f>
        <v>0</v>
      </c>
      <c r="X28" s="316">
        <f>IF(AJ17&gt;0,AJ17,0)</f>
        <v>0</v>
      </c>
      <c r="AF28" s="40">
        <f>IF(SUM(AE27:AF27)=0,0,IF(SUM(AE27:AF27)&lt;=$AA$6,SUM(AE27:AF27),$AA$6))</f>
        <v>0</v>
      </c>
      <c r="AH28" s="2"/>
      <c r="AI28" s="31">
        <v>1</v>
      </c>
      <c r="AJ28" s="2">
        <f>IF(AND(AI13&lt;&gt;0,AI14&lt;&gt;0,AI15=0,AI16=0,AI17=0),AI13,IF(AND(AI13&lt;&gt;0,AI14=0,AI15&lt;&gt;0,AI16=0,AI17=0),AI13,IF(AND(AI13&lt;&gt;0,AI14=0,AI15=0,AI16&lt;&gt;0,AI17=0),AI13,IF(AND(AI13&lt;&gt;0,AI14=0,AI15=0,AI16=0,AI17&lt;&gt;0),AI13,0))))</f>
        <v>0</v>
      </c>
      <c r="AK28" s="27">
        <f>IF(AND(AJ13&lt;&gt;0,AJ14&lt;&gt;0,AJ15=0,AJ16=0,AJ17=0),AJ13,IF(AND(AJ13&lt;&gt;0,AJ14=0,AJ15&lt;&gt;0,AJ16=0,AJ17=0),AJ13,IF(AND(AJ13&lt;&gt;0,AJ14=0,AJ15=0,AJ16&lt;&gt;0,AJ17=0),AJ13,IF(AND(AJ13&lt;&gt;0,AJ14=0,AJ15=0,AJ16=0,AJ17&lt;&gt;0),AJ13,0))))</f>
        <v>0</v>
      </c>
    </row>
    <row r="29" spans="2:45" x14ac:dyDescent="0.2">
      <c r="W29" s="96">
        <f>SUM(X27:X28)</f>
        <v>0</v>
      </c>
      <c r="X29" s="96">
        <f>IF(X28&gt;0,SUM(X27:X28),0)</f>
        <v>0</v>
      </c>
      <c r="AH29" s="2"/>
      <c r="AI29" s="102">
        <v>2</v>
      </c>
      <c r="AJ29" s="103">
        <f>IF(AND(AI13&lt;&gt;0,AI14&lt;&gt;0,AI15=0,AI16=0,AI17=0),AI14,IF(AND(AI13&lt;&gt;0,AI14=0,AI15&lt;&gt;0,AI16=0,AI17=0),AI15,IF(AND(AI13&lt;&gt;0,AI14=0,AI15=0,AI16&lt;&gt;0,AI17=0),AI16,IF(AND(AI13&lt;&gt;0,AI14=0,AI15=0,AI16=0,AI17&lt;&gt;0),AI17,0))))</f>
        <v>0</v>
      </c>
      <c r="AK29" s="104">
        <f>IF(AND(AJ13&lt;&gt;0,AJ14&lt;&gt;0,AJ15=0,AJ16=0,AJ17=0),AJ14,IF(AND(AJ13&lt;&gt;0,AJ14=0,AJ15&lt;&gt;0,AJ16=0,AJ17=0),AJ15,IF(AND(AJ13&lt;&gt;0,AJ14=0,AJ15=0,AJ16&lt;&gt;0,AJ17=0),AJ16,IF(AND(AJ13&lt;&gt;0,AJ14=0,AJ15=0,AJ16=0,AJ17&lt;&gt;0),AJ17,0))))</f>
        <v>0</v>
      </c>
    </row>
    <row r="30" spans="2:45" x14ac:dyDescent="0.2">
      <c r="AI30" s="31">
        <v>1</v>
      </c>
      <c r="AJ30" s="2">
        <f>IF(AND(AI13=0,AI14&lt;&gt;0,AI15&lt;&gt;0,AI16=0,AI17=0),AI14,IF(AND(AI13=0,AI14&lt;&gt;0,AI15=0,AI16&lt;&gt;0,AI17=0),AI14,IF(AND(AI13=0,AI14&lt;&gt;0,AI15=0,AI16=0,AI17&lt;&gt;0),AI14,0)))</f>
        <v>0</v>
      </c>
      <c r="AK30" s="27">
        <f>IF(AND(AJ13=0,AJ14&lt;&gt;0,AJ15&lt;&gt;0,AJ16=0,AJ17=0),AJ14,IF(AND(AJ13=0,AJ14&lt;&gt;0,AJ15=0,AJ16&lt;&gt;0,AJ17=0),AJ14,IF(AND(AJ13=0,AJ14&lt;&gt;0,AJ15=0,AJ16=0,AJ17&lt;&gt;0),AJ14,0)))</f>
        <v>0</v>
      </c>
    </row>
    <row r="31" spans="2:45" x14ac:dyDescent="0.2">
      <c r="AI31" s="102">
        <v>2</v>
      </c>
      <c r="AJ31" s="103">
        <f>IF(AND(AI13=0,AI14&lt;&gt;0,AI15&lt;&gt;0,AI16=0,AI17=0),AI15,IF(AND(AI13=0,AI14&lt;&gt;0,AI15=0,AI16&lt;&gt;0,AI17=0),AI16,IF(AND(AI13=0,AI14&lt;&gt;0,AI15=0,AI16=0,AI17&lt;&gt;0),AI17,0)))</f>
        <v>0</v>
      </c>
      <c r="AK31" s="104">
        <f>IF(AND(AJ13=0,AJ14&lt;&gt;0,AJ15&lt;&gt;0,AJ16=0,AJ17=0),AJ15,IF(AND(AJ13=0,AJ14&lt;&gt;0,AJ15=0,AJ16&lt;&gt;0,AJ17=0),AJ16,IF(AND(AJ13=0,AJ14&gt;0,AJ15=0,AJ16=0,AJ17&gt;0),AJ17,0)))</f>
        <v>0</v>
      </c>
    </row>
    <row r="32" spans="2:45" x14ac:dyDescent="0.2">
      <c r="M32" s="31" t="s">
        <v>524</v>
      </c>
      <c r="AI32" s="31">
        <v>1</v>
      </c>
      <c r="AJ32" s="2">
        <f>IF(AND(AI13=0,AI14=0,AI15&lt;&gt;0,AI16&lt;&gt;0,AJ17=0),AI15,IF(AND(AI13=0,AI14=0,AI15&lt;&gt;0,AI16=0,AI17&lt;&gt;0),AI15,0))</f>
        <v>0</v>
      </c>
      <c r="AK32" s="27">
        <f>IF(AND(AJ13=0,AJ14=0,AJ15&lt;&gt;0,AJ16&lt;&gt;0,AJ17=0),AJ15,IF(AND(AJ13=0,AJ14=0,AJ15&gt;0,AJ16=0,AJ17&lt;&gt;0),AJ15,0))</f>
        <v>0</v>
      </c>
    </row>
    <row r="33" spans="13:37" x14ac:dyDescent="0.2">
      <c r="M33" s="31" t="s">
        <v>483</v>
      </c>
      <c r="AI33" s="102">
        <v>2</v>
      </c>
      <c r="AJ33" s="103">
        <f>IF(AND(AI13=0,AI14=0,AI15&lt;&gt;0,AI16&lt;&gt;0,AI17=0),AI16,IF(AND(AI13=0,AI14=0,AI15&lt;&gt;0,AI16=0,AI17&lt;&gt;0),AI17,0))</f>
        <v>0</v>
      </c>
      <c r="AK33" s="104">
        <f>IF(AND(AJ13=0,AJ14=0,AJ15&lt;&gt;0,AJ16&lt;&gt;0,AJ17=0),AJ16,IF(AND(AJ13=0,AJ14=0,AJ15&gt;0,AJ16=0,AJ17&gt;0),AJ17,0))</f>
        <v>0</v>
      </c>
    </row>
    <row r="34" spans="13:37" x14ac:dyDescent="0.2">
      <c r="AI34" s="276">
        <v>1</v>
      </c>
      <c r="AJ34" s="274">
        <f>IF(AND(AI13=0,AI14=0,AI15=0,AI16&lt;&gt;0,AI17&lt;&gt;0),AI16,0)</f>
        <v>0</v>
      </c>
      <c r="AK34" s="275">
        <f>IF(AND(AJ13=0,AJ14=0,AJ15=0,AJ16&gt;0,AJ17&gt;0),AJ16,0)</f>
        <v>0</v>
      </c>
    </row>
    <row r="35" spans="13:37" x14ac:dyDescent="0.2">
      <c r="M35" s="31" t="s">
        <v>507</v>
      </c>
      <c r="AI35" s="102">
        <v>2</v>
      </c>
      <c r="AJ35" s="103">
        <f>IF(AND(AI13=0,AI14=0,AI15=0,AI16&lt;&gt;0,AI17&lt;&gt;0),AI17,0)</f>
        <v>0</v>
      </c>
      <c r="AK35" s="104">
        <f>IF(AND(AJ13=0,AJ14=0,AJ15=0,AJ16&gt;0,AJ17&gt;0),AJ17,0)</f>
        <v>0</v>
      </c>
    </row>
    <row r="36" spans="13:37" x14ac:dyDescent="0.2">
      <c r="M36" s="31" t="s">
        <v>508</v>
      </c>
      <c r="AI36" s="31">
        <v>1</v>
      </c>
      <c r="AJ36" s="2">
        <f>IF(AND(AI13&lt;&gt;0,AI14&lt;&gt;0,AI15&lt;&gt;0,AI16=0,AI17=0),AI13,IF(AND(AI13&lt;&gt;0,AI14=0,AI15&lt;&gt;0,AI16&lt;&gt;0,AI17=0),AI13,IF(AND(AI13&lt;&gt;0,AI14&lt;&gt;0,AI15=0,AI16&lt;&gt;0,AI17=0),AI13,IF(AND(AI13&lt;&gt;0,AI14=0,AI15&lt;&gt;0,AI16=0,AI17&lt;&gt;0),AI13,IF(AND(AI13&lt;&gt;0,AI14=0,AI15=0,AI16&lt;&gt;0,AI17&lt;&gt;0),AI13,IF(AND(AI13=0,AI14=0,AI15&lt;&gt;0,AI16&lt;&gt;0,AI17&lt;&gt;0),AI15,0))))))</f>
        <v>0</v>
      </c>
      <c r="AK36" s="274">
        <f>IF(AND(AJ13&lt;&gt;0,AJ14&lt;&gt;0,AJ15&lt;&gt;0,AJ16=0,AJ17=0),AJ13,IF(AND(AJ13&lt;&gt;0,AJ14=0,AJ15&lt;&gt;0,AJ16&lt;&gt;0,AJ17=0),AJ13,IF(AND(AJ13&lt;&gt;0,AJ14&lt;&gt;0,AJ15=0,AJ16&lt;&gt;0,AJ17=0),AJ13,IF(AND(AJ13&lt;&gt;0,AJ14=0,AJ15&lt;&gt;0,AJ16=0,AJ17&lt;&gt;0),AJ13,IF(AND(AJ13&lt;&gt;0,AJ14=0,AJ15=0,AJ16&lt;&gt;0,AJ17&lt;&gt;0),AJ13,IF(AND(AJ13=0,AJ14=0,AJ15&lt;&gt;0,AJ16&lt;&gt;0,AJ17&lt;&gt;0),AJ15,0))))))</f>
        <v>0</v>
      </c>
    </row>
    <row r="37" spans="13:37" x14ac:dyDescent="0.2">
      <c r="M37" s="31" t="s">
        <v>509</v>
      </c>
      <c r="AI37" s="31">
        <v>2</v>
      </c>
      <c r="AJ37" s="2">
        <f>IF(AND(AI13&lt;&gt;0,AI14&lt;&gt;0,AI15&lt;&gt;0,AI16=0,AI17=0),AI14,IF(AND(AI13&lt;&gt;0,AI14=0,AI15&lt;&gt;0,AI16&lt;&gt;0,AI17=0),AI15,IF(AND(AI13&lt;&gt;0,AI14=0,AI15&lt;&gt;0,AI16=0,AI17&lt;&gt;0),AI15,IF(AND(AI13=0,AI14=0,AI15&lt;&gt;0,AI16&lt;&gt;0,AI17&lt;&gt;0),AI16,IF(AND(AI13&lt;&gt;0,AI14=0,AI15=0,AI16&lt;&gt;0,AI17&lt;&gt;0),AI16,0)))))</f>
        <v>0</v>
      </c>
      <c r="AK37" s="274">
        <f>IF(AND(AJ13&lt;&gt;0,AJ14&lt;&gt;0,AJ15&lt;&gt;0,AJ16=0,AJ17=0),AJ14,IF(AND(AJ13&lt;&gt;0,AJ14=0,AJ15&lt;&gt;0,AJ16&lt;&gt;0,AJ17=0),AJ15,IF(AND(AJ13&lt;&gt;0,AJ14=0,AJ15&lt;&gt;0,AJ16=0,AJ17&lt;&gt;0),AJ15,IF(AND(AJ13=0,AJ14=0,AJ15&lt;&gt;0,AJ16&lt;&gt;0,AJ17&lt;&gt;0),AJ16,IF(AND(AJ13&lt;&gt;0,AJ14=0,AJ15=0,AJ16&lt;&gt;0,AJ17&lt;&gt;0),AJ16,0)))))</f>
        <v>0</v>
      </c>
    </row>
    <row r="38" spans="13:37" x14ac:dyDescent="0.2">
      <c r="AI38" s="102">
        <v>3</v>
      </c>
      <c r="AJ38" s="103">
        <f>IF(AND(AI13&lt;&gt;0,AI14&lt;&gt;0,AI15&lt;&gt;0,AI16=0,AI17=0),AI15,IF(AND(AI13&lt;&gt;0,AI14=0,AI15&lt;&gt;0,AI16&lt;&gt;0,AI17=0),AI16,IF(AND(AI13&lt;&gt;0,AI14=0,AI15&lt;&gt;0,AI16=0,AI17&lt;&gt;0),AI17,IF(AND(AI13=0,AI14=0,AI15&lt;&gt;0,AI16&lt;&gt;0,AI17&lt;&gt;0),AI17,IF(AND(AI13&lt;&gt;0,AI14=0,AI15=0,AI16&lt;&gt;0,AI17&lt;&gt;0),AI17,0)))))</f>
        <v>0</v>
      </c>
      <c r="AK38" s="103">
        <f>IF(AND(AJ13&lt;&gt;0,AJ14&lt;&gt;0,AJ15&lt;&gt;0,AJ16=0,AJ17=0),AJ15,IF(AND(AJ13&lt;&gt;0,AJ14=0,AJ15&lt;&gt;0,AJ16&lt;&gt;0,AJ17=0),AJ16,IF(AND(AJ13&lt;&gt;0,AJ14=0,AJ15&lt;&gt;0,AJ16=0,AJ17&lt;&gt;0),AJ17,IF(AND(AJ13=0,AJ14=0,AJ15&lt;&gt;0,AJ16&lt;&gt;0,AJ17&lt;&gt;0),AJ17,IF(AND(AJ13&lt;&gt;0,AJ14=0,AJ15=0,AJ16&lt;&gt;0,AJ17&lt;&gt;0),AJ17,0)))))</f>
        <v>0</v>
      </c>
    </row>
    <row r="39" spans="13:37" x14ac:dyDescent="0.2">
      <c r="M39" s="31" t="s">
        <v>519</v>
      </c>
      <c r="AI39" s="31">
        <v>1</v>
      </c>
      <c r="AJ39" s="274">
        <f>IF(AND(AI13=0,AI14&lt;&gt;0,AI15&lt;&gt;0,AI16&lt;&gt;0,AI17=0),AI14,IF(AND(AI13=0,AI14&lt;&gt;0,AI15&lt;&gt;0,AI16=0,AI17&lt;&gt;0),AI14,IF(AND(AI13&lt;&gt;0,AI14&lt;&gt;0,AI15=0,AI16=0,AI17&lt;&gt;0),AI13,IF(AND(AI13=0,AI14&lt;&gt;0,AI15=0,AI16&lt;&gt;0,AI17&lt;&gt;0),AI14,0))))</f>
        <v>0</v>
      </c>
      <c r="AK39" s="274">
        <f>IF(AND(AJ13=0,AJ14&lt;&gt;0,AJ15&lt;&gt;0,AJ16&lt;&gt;0,AJ17=0),AJ14,IF(AND(AJ13=0,AJ14&lt;&gt;0,AJ15&lt;&gt;0,AJ16=0,AJ17&lt;&gt;0),AJ14,IF(AND(AJ13&lt;&gt;0,AJ14&lt;&gt;0,AJ15=0,AJ16=0,AJ17&lt;&gt;0),AJ13,IF(AND(AJ13=0,AJ14&lt;&gt;0,AJ15=0,AJ16&lt;&gt;0,AJ17&lt;&gt;0),AJ14,0))))</f>
        <v>0</v>
      </c>
    </row>
    <row r="40" spans="13:37" x14ac:dyDescent="0.2">
      <c r="M40" s="31" t="s">
        <v>520</v>
      </c>
      <c r="AI40" s="31">
        <v>2</v>
      </c>
      <c r="AJ40" s="274">
        <f>IF(AND(AI13=0,AI14&lt;&gt;0,AI15&lt;&gt;0,AI16&lt;&gt;0,AI17=0),AI15,IF(AND(AI13=0,AI14&lt;&gt;0,AI15&lt;&gt;0,AI16=0,AI17&lt;&gt;0),AI15,IF(AND(AI13&lt;&gt;0,AI14&lt;&gt;0,AI15=0,AI16=0,AI17&lt;&gt;0),AI14,IF(AND(AI13=0,AI14&lt;&gt;0,AI15=0,AI16&lt;&gt;0,AI17&lt;&gt;0),AI16,0))))</f>
        <v>0</v>
      </c>
      <c r="AK40" s="274">
        <f>IF(AND(AJ13=0,AJ14&lt;&gt;0,AJ15&lt;&gt;0,AJ16&lt;&gt;0,AJ17=0),AJ15,IF(AND(AJ13=0,AJ14&lt;&gt;0,AJ15&lt;&gt;0,AJ16=0,AJ17&lt;&gt;0),AJ15,IF(AND(AJ13&lt;&gt;0,AJ14&lt;&gt;0,AJ15=0,AJ16=0,AJ17&lt;&gt;0),AJ14,IF(AND(AJ13=0,AJ14&lt;&gt;0,AJ15=0,AJ16&lt;&gt;0,AJ17&lt;&gt;0),AJ16,0))))</f>
        <v>0</v>
      </c>
    </row>
    <row r="41" spans="13:37" x14ac:dyDescent="0.2">
      <c r="AI41" s="102">
        <v>3</v>
      </c>
      <c r="AJ41" s="103">
        <f>IF(AND(AI14&lt;&gt;0,AI13=0,AI15&lt;&gt;0,AI16&lt;&gt;0,AI17=0),AI16,IF(AND(AI13=0,AI14&lt;&gt;0,AI15&lt;&gt;0,AI16=0,AI17&lt;&gt;0),AI17,IF(AND(AI13&lt;&gt;0,AI14&lt;&gt;0,AI15=0,AI16=0,AI17&lt;&gt;0),AI17,IF(AND(AI13=0,AI14&lt;&gt;0,AI15=0,AI16&lt;&gt;0,AI17&lt;&gt;0),AI17,0))))</f>
        <v>0</v>
      </c>
      <c r="AK41" s="103">
        <f>IF(AND(AJ14&lt;&gt;0,AJ13=0,AJ15&lt;&gt;0,AJ16&lt;&gt;0,AJ17=0),AJ16,IF(AND(AJ13=0,AJ14&lt;&gt;0,AJ15&lt;&gt;0,AJ16=0,AJ17&lt;&gt;0),AJ17,IF(AND(AJ13&lt;&gt;0,AJ14&lt;&gt;0,AJ15=0,AJ16=0,AJ17&lt;&gt;0),AJ17,IF(AND(AJ13=0,AJ14&lt;&gt;0,AJ15=0,AJ16&lt;&gt;0,AJ17&lt;&gt;0),AJ17,0))))</f>
        <v>0</v>
      </c>
    </row>
    <row r="42" spans="13:37" x14ac:dyDescent="0.2">
      <c r="M42" s="31" t="s">
        <v>521</v>
      </c>
      <c r="AI42" s="31">
        <v>1</v>
      </c>
      <c r="AJ42" s="275">
        <f>IF(AND(AI13&lt;&gt;0,AI14&lt;&gt;0,AI15&lt;&gt;0,AI16&lt;&gt;0,AI17=0),AI13,IF(AND(AI13&lt;&gt;0,AI14=0,AI15&lt;&gt;0,AI16&lt;&gt;0,AI17&lt;&gt;0),AI13,IF(AND(AI13&lt;&gt;0,AI14&lt;&gt;0,AI15=0,AI16&lt;&gt;0,AI17&lt;&gt;0),AI13,IF(AND(AI13&lt;&gt;0,AI14&lt;&gt;0,AI15&lt;&gt;0,AI16=0,AI17&lt;&gt;0),AI13,IF(AND(AI13=0,AI14&lt;&gt;0,AI15&lt;&gt;0,AI16&lt;&gt;0,AI17&lt;&gt;0),AI14,0)))))</f>
        <v>0</v>
      </c>
      <c r="AK42" s="275">
        <f>IF(AND(AJ13&lt;&gt;0,AJ14&lt;&gt;0,AJ15&lt;&gt;0,AJ16&lt;&gt;0,AJ17=0),AJ13,IF(AND(AJ13&lt;&gt;0,AJ14=0,AJ15&lt;&gt;0,AJ16&lt;&gt;0,AJ17&lt;&gt;0),AJ13,IF(AND(AJ13&lt;&gt;0,AJ14&lt;&gt;0,AJ15=0,AJ16&lt;&gt;0,AJ17&lt;&gt;0),AJ13,IF(AND(AJ13&lt;&gt;0,AJ14&lt;&gt;0,AJ15&lt;&gt;0,AJ16=0,AJ17&lt;&gt;0),AJ13,IF(AND(AJ13=0,AJ14&lt;&gt;0,AJ15&lt;&gt;0,AJ16&lt;&gt;0,AJ17&lt;&gt;0),AJ14,0)))))</f>
        <v>0</v>
      </c>
    </row>
    <row r="43" spans="13:37" x14ac:dyDescent="0.2">
      <c r="M43" s="31" t="s">
        <v>522</v>
      </c>
      <c r="AI43" s="31">
        <v>2</v>
      </c>
      <c r="AJ43" s="2">
        <f>IF(AND(AI13&lt;&gt;0,AI14&lt;&gt;0,AI15&lt;&gt;0,AI16&lt;&gt;0,AI17=0),AI14,IF(AND(AI13&lt;&gt;0,AI14=0,AI15&lt;&gt;0,AI16&lt;&gt;0,AI17&lt;&gt;0),AI15,IF(AND(AI13&lt;&gt;0,AI14&lt;&gt;0,AI15=0,AI16&lt;&gt;0,AI17&lt;&gt;0),AI14,IF(AND(AI13&lt;&gt;0,AI14&lt;&gt;0,AI15&lt;&gt;0,AI16=0,AI17&lt;&gt;0),AI14,IF(AND(AI13=0,AI14&lt;&gt;0,AI15&lt;&gt;0,AI16&lt;&gt;0,AI17&lt;&gt;0),AI15,0)))))</f>
        <v>0</v>
      </c>
      <c r="AK43" s="274">
        <f>IF(AND(AJ13&lt;&gt;0,AJ14&lt;&gt;0,AJ15&lt;&gt;0,AJ16&lt;&gt;0,AJ17=0),AJ14,IF(AND(AJ13&lt;&gt;0,AJ14=0,AJ15&lt;&gt;0,AJ16&lt;&gt;0,AJ17&lt;&gt;0),AJ15,IF(AND(AJ13&lt;&gt;0,AJ14&lt;&gt;0,AJ15=0,AJ16&lt;&gt;0,AJ17&lt;&gt;0),AJ14,IF(AND(AJ13&lt;&gt;0,AJ14&lt;&gt;0,AJ15&lt;&gt;0,AJ16=0,AJ17&lt;&gt;0),AJ14,IF(AND(AJ13=0,AJ14&lt;&gt;0,AJ15&lt;&gt;0,AJ16&lt;&gt;0,AJ17&lt;&gt;0),AJ15,0)))))</f>
        <v>0</v>
      </c>
    </row>
    <row r="44" spans="13:37" x14ac:dyDescent="0.2">
      <c r="M44" s="31" t="s">
        <v>523</v>
      </c>
      <c r="AI44" s="31">
        <v>3</v>
      </c>
      <c r="AJ44" s="2">
        <f>IF(AND(AI13&lt;&gt;0,AI14&lt;&gt;0,AI15&lt;&gt;0,AI16&lt;&gt;0,AI17=0),AI15,IF(AND(AI13&lt;&gt;0,AI14=0,AI15&lt;&gt;0,AI16&lt;&gt;0,AI17&lt;&gt;0),AI16,IF(AND(AI13&lt;&gt;0,AI14&lt;&gt;0,AI15=0,AI16&lt;&gt;0,AI17&lt;&gt;0),AI16,IF(AND(AI13&lt;&gt;0,AI14&lt;&gt;0,AI15&lt;&gt;0,AI16=0,AI17&lt;&gt;0),AI15,IF(AND(AI13=0,AI14&lt;&gt;0,AI15&lt;&gt;0,AI16&lt;&gt;0,AI17&lt;&gt;0),AI16,0)))))</f>
        <v>0</v>
      </c>
      <c r="AK44" s="274">
        <f>IF(AND(AJ13&lt;&gt;0,AJ14&lt;&gt;0,AJ15&lt;&gt;0,AJ16&lt;&gt;0,AJ17=0),AJ15,IF(AND(AJ13&lt;&gt;0,AJ14=0,AJ15&lt;&gt;0,AJ16&lt;&gt;0,AJ17&lt;&gt;0),AJ16,IF(AND(AJ13&lt;&gt;0,AJ14&lt;&gt;0,AJ15=0,AJ16&lt;&gt;0,AJ17&lt;&gt;0),AJ16,IF(AND(AJ13&lt;&gt;0,AJ14&lt;&gt;0,AJ15&lt;&gt;0,AJ16=0,AJ17&lt;&gt;0),AJ15,IF(AND(AJ13=0,AJ14&lt;&gt;0,AJ15&lt;&gt;0,AJ16&lt;&gt;0,AJ17&lt;&gt;0),AJ16,0)))))</f>
        <v>0</v>
      </c>
    </row>
    <row r="45" spans="13:37" x14ac:dyDescent="0.2">
      <c r="AI45" s="102">
        <v>4</v>
      </c>
      <c r="AJ45" s="103">
        <f>IF(AND(AI13&lt;&gt;0,AI14&lt;&gt;0,AI15&lt;&gt;0,AI16&lt;&gt;0,AI17=0),AI16,IF(AND(AI13&lt;&gt;0,AI14=0,AI15&lt;&gt;0,AI16&lt;&gt;0,AI17&lt;&gt;0),AI17,IF(AND(AI13&lt;&gt;0,AI14&lt;&gt;0,AI15=0,AI16&lt;&gt;0,AI17&lt;&gt;0),AI17,IF(AND(AI13&lt;&gt;0,AI14&lt;&gt;0,AI15&lt;&gt;0,AI16=0,AI17&lt;&gt;0),AI17,IF(AND(AI13=0,AI14&lt;&gt;0,AI15&lt;&gt;0,AI16&lt;&gt;0,AI17&lt;&gt;0),AI17,0)))))</f>
        <v>0</v>
      </c>
      <c r="AK45" s="103">
        <f>IF(AND(AJ13&lt;&gt;0,AJ14&lt;&gt;0,AJ15&lt;&gt;0,AJ16&lt;&gt;0,AJ17=0),AJ16,IF(AND(AJ13&lt;&gt;0,AJ14=0,AJ15&lt;&gt;0,AJ16&lt;&gt;0,AJ17&lt;&gt;0),AJ17,IF(AND(AJ13&lt;&gt;0,AJ14&lt;&gt;0,AJ15=0,AJ16&lt;&gt;0,AJ17&lt;&gt;0),AJ17,IF(AND(AJ13&lt;&gt;0,AJ14&lt;&gt;0,AJ15&lt;&gt;0,AJ16=0,AJ17&lt;&gt;0),AJ17,IF(AND(AJ13=0,AJ14&lt;&gt;0,AJ15&lt;&gt;0,AJ16&lt;&gt;0,AJ17&lt;&gt;0),AJ17,0)))))</f>
        <v>0</v>
      </c>
    </row>
    <row r="46" spans="13:37" x14ac:dyDescent="0.2">
      <c r="AE46" s="319"/>
      <c r="AF46" s="319"/>
      <c r="AI46" s="276">
        <v>1</v>
      </c>
      <c r="AJ46" s="274">
        <f>IF(AND(AI13&lt;&gt;0,AI14&lt;&gt;0,AI15&lt;&gt;0,AI16&lt;&gt;0,AI17&lt;&gt;0),AI13,0)</f>
        <v>0</v>
      </c>
      <c r="AK46" s="274">
        <f>IF(AND(AJ13&lt;&gt;0,AJ14&lt;&gt;0,AJ15&lt;&gt;0,AJ16&lt;&gt;0,AJ17&lt;&gt;0),AJ13,0)</f>
        <v>0</v>
      </c>
    </row>
    <row r="47" spans="13:37" x14ac:dyDescent="0.2">
      <c r="AI47" s="276">
        <v>2</v>
      </c>
      <c r="AJ47" s="274">
        <f>IF(AND(AI13&lt;&gt;0,AI14&lt;&gt;0,AI15&lt;&gt;0,AI16&lt;&gt;0,AI17&lt;&gt;0),AI14,0)</f>
        <v>0</v>
      </c>
      <c r="AK47" s="274">
        <f>IF(AND(AJ13&lt;&gt;0,AJ14&lt;&gt;0,AJ15&lt;&gt;0,AJ16&lt;&gt;0,AJ17&lt;&gt;0),AJ14,0)</f>
        <v>0</v>
      </c>
    </row>
    <row r="48" spans="13:37" x14ac:dyDescent="0.2">
      <c r="AI48" s="276">
        <v>3</v>
      </c>
      <c r="AJ48" s="274">
        <f>IF(AND(AI13&lt;&gt;0,AI14&lt;&gt;0,AI15&lt;&gt;0,AI16&lt;&gt;0,AI17&lt;&gt;0),AI15,0)</f>
        <v>0</v>
      </c>
      <c r="AK48" s="274">
        <f>IF(AND(AJ13&lt;&gt;0,AJ14&lt;&gt;0,AJ15&lt;&gt;0,AJ16&lt;&gt;0,AJ17&lt;&gt;0),AJ15,0)</f>
        <v>0</v>
      </c>
    </row>
    <row r="49" spans="35:37" x14ac:dyDescent="0.2">
      <c r="AI49" s="311">
        <v>4</v>
      </c>
      <c r="AJ49" s="274">
        <f>IF(AND(AI13&lt;&gt;0,AI14&lt;&gt;0,AI15&lt;&gt;0,AI16&lt;&gt;0,AI17&lt;&gt;0),AI16,0)</f>
        <v>0</v>
      </c>
      <c r="AK49" s="274">
        <f>IF(AND(AJ13&lt;&gt;0,AJ14&lt;&gt;0,AJ15&lt;&gt;0,AJ16&lt;&gt;0,AJ17&lt;&gt;0),AJ16,0)</f>
        <v>0</v>
      </c>
    </row>
    <row r="50" spans="35:37" x14ac:dyDescent="0.2">
      <c r="AI50" s="102">
        <v>5</v>
      </c>
      <c r="AJ50" s="103">
        <f>IF(AND(AI13&lt;&gt;0,AI14&lt;&gt;0,AI15&lt;&gt;0,AI16&lt;&gt;0,AI17&lt;&gt;0),AI17,0)</f>
        <v>0</v>
      </c>
      <c r="AK50" s="103">
        <f>IF(AND(AJ13&lt;&gt;0,AJ14&lt;&gt;0,AJ15&lt;&gt;0,AJ16&lt;&gt;0,AJ17&lt;&gt;0),AJ17,0)</f>
        <v>0</v>
      </c>
    </row>
    <row r="51" spans="35:37" ht="12" x14ac:dyDescent="0.25">
      <c r="AI51" s="38">
        <v>1</v>
      </c>
      <c r="AJ51" s="76">
        <f>IF(AJ24&lt;&gt;0,AJ24,IF(AJ28&lt;&gt;0,AJ28,IF(AJ30&lt;&gt;0,AJ30,IF(AJ32&lt;&gt;0,AJ32,IF(AJ36&lt;&gt;0,AJ36,IF(AJ39&lt;&gt;0,AJ39,IF(AJ42&gt;0,AJ42,IF(AJ34&lt;&gt;0,AJ34,IF(AJ46&lt;&gt;0,AJ46,0)))))))))</f>
        <v>0</v>
      </c>
      <c r="AK51" s="76">
        <f>IF(AK24&lt;&gt;0,AK24,IF(AK28&lt;&gt;0,AK28,IF(AK30&lt;&gt;0,AK30,IF(AK32&lt;&gt;0,AK32,IF(AK36&lt;&gt;0,AK36,IF(AK39&lt;&gt;0,AK39,IF(AK42&gt;0,AK42,IF(AK34&lt;&gt;0,AK34,IF(AK46&lt;&gt;0,AK46,0)))))))))</f>
        <v>0</v>
      </c>
    </row>
    <row r="52" spans="35:37" ht="12" x14ac:dyDescent="0.25">
      <c r="AI52" s="38">
        <v>2</v>
      </c>
      <c r="AJ52" s="76">
        <f>IF(AJ29&gt;0,AJ29,IF(AJ31&gt;0,AJ31,IF(AJ33&gt;0,AJ33,IF(AJ37&gt;0,AJ37,IF(AJ40&gt;0,AJ40,IF(AJ43&gt;0,AJ43,IF(AJ35&lt;&gt;0,AJ35,IF(AJ47&lt;&gt;0,AJ47,0))))))))</f>
        <v>0</v>
      </c>
      <c r="AK52" s="76">
        <f>IF(AK29&gt;0,AK29,IF(AK31&gt;0,AK31,IF(AK33&gt;0,AK33,IF(AK37&gt;0,AK37,IF(AK40&gt;0,AK40,IF(AK43&gt;0,AK43,IF(AK35&lt;&gt;0,AK35,IF(AK47&lt;&gt;0,AK47,0))))))))</f>
        <v>0</v>
      </c>
    </row>
    <row r="53" spans="35:37" ht="12" x14ac:dyDescent="0.25">
      <c r="AI53" s="38">
        <v>3</v>
      </c>
      <c r="AJ53" s="76">
        <f>IF(AJ38&gt;0,AJ38,IF(AJ41&gt;0,AJ41,IF(AJ44&gt;0,AJ44,IF(AJ48&lt;&gt;0,AJ48,0))))</f>
        <v>0</v>
      </c>
      <c r="AK53" s="76">
        <f>IF(AK38&gt;0,AK38,IF(AK41&gt;0,AK41,IF(AK44&gt;0,AK44,IF(AK48&lt;&gt;0,AK48,0))))</f>
        <v>0</v>
      </c>
    </row>
    <row r="54" spans="35:37" ht="12" x14ac:dyDescent="0.25">
      <c r="AI54" s="38">
        <v>4</v>
      </c>
      <c r="AJ54" s="312">
        <f>IF(AJ45&gt;0,AJ45,IF(AJ49&lt;&gt;0,AJ49,0))</f>
        <v>0</v>
      </c>
      <c r="AK54" s="312">
        <f>IF(AK45&gt;0,AK45,IF(AK49&lt;&gt;0,AK49,0))</f>
        <v>0</v>
      </c>
    </row>
    <row r="55" spans="35:37" ht="12" x14ac:dyDescent="0.25">
      <c r="AI55" s="313">
        <v>5</v>
      </c>
      <c r="AJ55" s="313">
        <f>IF(AJ50&lt;&gt;0,AJ50,0)</f>
        <v>0</v>
      </c>
      <c r="AK55" s="313">
        <f>IF(AK50&lt;&gt;0,AK50,0)</f>
        <v>0</v>
      </c>
    </row>
    <row r="56" spans="35:37" x14ac:dyDescent="0.2">
      <c r="AK56" s="31" t="str">
        <f>IF(SUM(AK51:AK54)&gt;0,AH7,IF(SUM(AK51:AK54)=0,AH8,0))</f>
        <v>Keine Einnahmen</v>
      </c>
    </row>
  </sheetData>
  <sheetProtection selectLockedCells="1"/>
  <mergeCells count="2">
    <mergeCell ref="Q10:Q14"/>
    <mergeCell ref="AE12:AF12"/>
  </mergeCells>
  <conditionalFormatting sqref="X28">
    <cfRule type="cellIs" dxfId="15" priority="2" operator="notEqual">
      <formula>0</formula>
    </cfRule>
    <cfRule type="cellIs" dxfId="14" priority="3" operator="equal">
      <formula>0</formula>
    </cfRule>
  </conditionalFormatting>
  <conditionalFormatting sqref="X29">
    <cfRule type="cellIs" dxfId="13" priority="1" operator="notEqual">
      <formula>0</formula>
    </cfRule>
  </conditionalFormatting>
  <pageMargins left="0.39370078740157483" right="0.19685039370078741" top="0.59055118110236227" bottom="0.59055118110236227" header="0.31496062992125984" footer="0.31496062992125984"/>
  <pageSetup paperSize="9" orientation="landscape" r:id="rId1"/>
  <headerFooter>
    <oddFooter>&amp;R&amp;"Arial,Fett"&amp;9&amp;D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B1:V81"/>
  <sheetViews>
    <sheetView showGridLines="0" showRowColHeaders="0" showZeros="0" topLeftCell="A4" zoomScaleNormal="100" workbookViewId="0"/>
  </sheetViews>
  <sheetFormatPr baseColWidth="10" defaultRowHeight="13.8" x14ac:dyDescent="0.25"/>
  <cols>
    <col min="1" max="1" width="1" customWidth="1"/>
    <col min="2" max="2" width="2.09765625" style="120" customWidth="1"/>
    <col min="5" max="5" width="13.59765625" customWidth="1"/>
    <col min="6" max="6" width="12.8984375" customWidth="1"/>
    <col min="7" max="7" width="9" customWidth="1"/>
    <col min="8" max="8" width="8.3984375" customWidth="1"/>
    <col min="9" max="9" width="13" customWidth="1"/>
    <col min="10" max="10" width="11.5" hidden="1" customWidth="1"/>
    <col min="11" max="17" width="11" style="2" hidden="1" customWidth="1"/>
    <col min="18" max="18" width="2.3984375" hidden="1" customWidth="1"/>
    <col min="19" max="19" width="6.09765625" hidden="1" customWidth="1"/>
    <col min="20" max="22" width="11" hidden="1" customWidth="1"/>
    <col min="23" max="23" width="11" customWidth="1"/>
  </cols>
  <sheetData>
    <row r="1" spans="2:21" ht="5.25" customHeight="1" x14ac:dyDescent="0.25">
      <c r="R1" s="2"/>
      <c r="S1" s="2"/>
    </row>
    <row r="2" spans="2:21" x14ac:dyDescent="0.25">
      <c r="B2" s="277">
        <f>Erfassung!AU3</f>
        <v>0</v>
      </c>
      <c r="N2" s="2">
        <f ca="1">Rechnen!F9</f>
        <v>0</v>
      </c>
      <c r="O2" s="2" t="s">
        <v>264</v>
      </c>
      <c r="R2" s="2"/>
      <c r="S2" s="2"/>
    </row>
    <row r="3" spans="2:21" ht="11.25" customHeight="1" x14ac:dyDescent="0.25">
      <c r="K3" s="2">
        <f>Erfassung!E3</f>
        <v>0</v>
      </c>
      <c r="L3" s="2">
        <f>Erfassung!F3</f>
        <v>0</v>
      </c>
      <c r="N3" s="2">
        <f>Erfassung!Y25</f>
        <v>0</v>
      </c>
      <c r="O3" s="2" t="s">
        <v>25</v>
      </c>
      <c r="P3" s="2" t="s">
        <v>550</v>
      </c>
      <c r="Q3" s="2">
        <f ca="1">Erfassung!R4</f>
        <v>1</v>
      </c>
      <c r="R3" s="2"/>
      <c r="S3" s="2"/>
    </row>
    <row r="4" spans="2:21" x14ac:dyDescent="0.25">
      <c r="B4" s="45">
        <f ca="1">Rechnen!AC19</f>
        <v>0</v>
      </c>
      <c r="C4" s="120"/>
      <c r="D4" s="120"/>
      <c r="E4" s="120"/>
      <c r="F4" s="120"/>
      <c r="G4" s="120"/>
      <c r="H4" s="120"/>
      <c r="I4" s="120"/>
      <c r="J4" s="120"/>
      <c r="N4" s="2">
        <f ca="1">IF(AND(N2=1,N3&gt;0),1,0)</f>
        <v>0</v>
      </c>
      <c r="O4" s="2" t="s">
        <v>328</v>
      </c>
      <c r="R4" s="2"/>
      <c r="S4" s="2"/>
    </row>
    <row r="5" spans="2:21" x14ac:dyDescent="0.25">
      <c r="R5" s="2"/>
      <c r="S5" s="2"/>
    </row>
    <row r="6" spans="2:21" ht="11.25" customHeight="1" x14ac:dyDescent="0.25">
      <c r="B6" s="277">
        <f ca="1">IF(I58&gt;0,M6,0)</f>
        <v>0</v>
      </c>
      <c r="K6" s="2" t="s">
        <v>35</v>
      </c>
      <c r="L6" s="122">
        <f>Erfassung!P4</f>
        <v>0</v>
      </c>
      <c r="M6" s="2" t="str">
        <f>CONCATENATE(K6," ",TEXT(L6,"tt.MM.jjjj"))</f>
        <v>Gültig ab: 00.01.1900</v>
      </c>
      <c r="O6" s="2">
        <f>Erfassung!E6</f>
        <v>0</v>
      </c>
      <c r="P6" s="2" t="s">
        <v>396</v>
      </c>
      <c r="Q6" s="120">
        <f ca="1">IF(AND(N4&gt;0,O6&gt;0),CONCATENATE(P6,TEXT(O6,"###'###")),0)</f>
        <v>0</v>
      </c>
      <c r="R6" s="2"/>
      <c r="S6" s="2"/>
    </row>
    <row r="7" spans="2:21" ht="11.25" customHeight="1" x14ac:dyDescent="0.25">
      <c r="B7" s="276">
        <f ca="1">IF(I58&gt;0,M7,0)</f>
        <v>0</v>
      </c>
      <c r="K7" s="2" t="s">
        <v>36</v>
      </c>
      <c r="L7" s="122">
        <f ca="1">Erfassung!P5</f>
        <v>43301</v>
      </c>
      <c r="M7" s="2" t="str">
        <f ca="1">CONCATENATE(K7," ",TEXT(L7,"tt.MM.jjjj"))</f>
        <v>Erstellt am: 20.07.2018</v>
      </c>
      <c r="O7" s="2">
        <f>Erfassung!E7</f>
        <v>0</v>
      </c>
      <c r="P7" s="2" t="s">
        <v>395</v>
      </c>
      <c r="Q7" s="2">
        <f ca="1">IF(AND(N4=1,O7&gt;0),CONCATENATE(P7,TEXT(O7,"##'###")),0)</f>
        <v>0</v>
      </c>
      <c r="R7" s="2"/>
      <c r="S7" s="2"/>
    </row>
    <row r="8" spans="2:21" ht="11.25" customHeight="1" x14ac:dyDescent="0.25">
      <c r="D8" s="120"/>
      <c r="E8" s="120"/>
      <c r="F8" s="120"/>
      <c r="G8" s="120"/>
      <c r="H8" s="120"/>
      <c r="I8" s="120"/>
      <c r="J8" s="120"/>
      <c r="R8" s="2"/>
      <c r="S8" s="2"/>
    </row>
    <row r="9" spans="2:21" ht="11.25" customHeight="1" x14ac:dyDescent="0.25">
      <c r="D9" s="120"/>
      <c r="E9" s="120"/>
      <c r="F9" s="120"/>
      <c r="G9" s="120"/>
      <c r="H9" s="120"/>
      <c r="I9" s="120"/>
      <c r="J9" s="120"/>
      <c r="R9" s="2"/>
      <c r="S9" s="2"/>
    </row>
    <row r="10" spans="2:21" ht="11.25" customHeight="1" x14ac:dyDescent="0.25">
      <c r="B10" s="276">
        <f ca="1">IF(N4&gt;0,Q12,0)</f>
        <v>0</v>
      </c>
      <c r="D10" s="120"/>
      <c r="E10" s="120"/>
      <c r="F10" s="120"/>
      <c r="J10" s="120"/>
      <c r="R10" s="2"/>
      <c r="S10" s="2"/>
      <c r="T10" s="43">
        <f>IF(O21=0,0,IF(O21&lt;&gt;0,CONCATENATE(N21," ",O21),U10))</f>
        <v>0</v>
      </c>
    </row>
    <row r="11" spans="2:21" ht="11.25" customHeight="1" x14ac:dyDescent="0.25">
      <c r="B11" s="276">
        <f ca="1">IF(N4&gt;0,Q13,0)</f>
        <v>0</v>
      </c>
      <c r="D11" s="120"/>
      <c r="E11" s="120"/>
      <c r="F11" s="120"/>
      <c r="J11" s="120"/>
      <c r="R11" s="2"/>
      <c r="S11" s="2"/>
    </row>
    <row r="12" spans="2:21" ht="11.25" customHeight="1" x14ac:dyDescent="0.25">
      <c r="B12" s="276">
        <f>N14</f>
        <v>0</v>
      </c>
      <c r="D12" s="120"/>
      <c r="E12" s="120"/>
      <c r="F12" s="120"/>
      <c r="G12" s="150">
        <f>O18</f>
        <v>0</v>
      </c>
      <c r="H12" s="123"/>
      <c r="I12" s="123"/>
      <c r="J12" s="120"/>
      <c r="N12" s="2" t="s">
        <v>397</v>
      </c>
      <c r="Q12" s="2">
        <f ca="1">IF(AND(Q6&lt;&gt;0,Q7=0),Q6,IF(AND(Q6&lt;&gt;0,Q7&lt;&gt;0),Q6,IF(AND(Q6=0,Q7&lt;&gt;0),Q7,0)))</f>
        <v>0</v>
      </c>
      <c r="R12" s="2"/>
      <c r="S12" s="2"/>
    </row>
    <row r="13" spans="2:21" ht="11.25" customHeight="1" x14ac:dyDescent="0.25">
      <c r="B13" s="276">
        <f>IF(R13=0,0,IF(T13&gt;0,U13,""))</f>
        <v>0</v>
      </c>
      <c r="D13" s="120"/>
      <c r="E13" s="120"/>
      <c r="F13" s="120"/>
      <c r="G13" s="150">
        <f>O19</f>
        <v>0</v>
      </c>
      <c r="H13" s="123"/>
      <c r="I13" s="123"/>
      <c r="J13" s="120"/>
      <c r="N13" s="2" t="s">
        <v>398</v>
      </c>
      <c r="Q13" s="2">
        <f ca="1">IF(AND(Q6&lt;&gt;0,Q7&lt;&gt;0),Q7,IF(AND(Q6&lt;&gt;0,Q7=0),0,0))</f>
        <v>0</v>
      </c>
      <c r="R13" s="2">
        <f>Erfassung!Y13</f>
        <v>0</v>
      </c>
      <c r="S13" s="2">
        <f>Erfassung!BJ13</f>
        <v>0</v>
      </c>
      <c r="T13" s="28" t="str">
        <f>Erfassung!BK13</f>
        <v/>
      </c>
      <c r="U13" s="2" t="str">
        <f>IF(T13&gt;0,CONCATENATE(S13,","," ",TEXT(T13,"tt.MM.jj")),0)</f>
        <v xml:space="preserve">0, </v>
      </c>
    </row>
    <row r="14" spans="2:21" ht="11.25" customHeight="1" x14ac:dyDescent="0.25">
      <c r="B14" s="276">
        <f t="shared" ref="B14:B24" si="0">IF(R14=0,0,IF(T14&gt;0,U14,""))</f>
        <v>0</v>
      </c>
      <c r="D14" s="120"/>
      <c r="E14" s="120"/>
      <c r="F14" s="120"/>
      <c r="G14" s="150">
        <f>IF(O21&lt;&gt;0,T10,IF(O21=0,O20,0))</f>
        <v>0</v>
      </c>
      <c r="H14" s="123"/>
      <c r="I14" s="123"/>
      <c r="J14" s="120"/>
      <c r="N14" s="76">
        <f>IF(N3=1,N12,IF(N3&gt;1,N13,0))</f>
        <v>0</v>
      </c>
      <c r="R14" s="2">
        <f>Erfassung!Y14</f>
        <v>0</v>
      </c>
      <c r="S14" s="2">
        <f>Erfassung!BJ14</f>
        <v>0</v>
      </c>
      <c r="T14" s="28" t="str">
        <f>Erfassung!BK14</f>
        <v/>
      </c>
      <c r="U14" s="2" t="str">
        <f t="shared" ref="U14:U24" si="1">IF(T14&gt;0,CONCATENATE(S14,","," ",TEXT(T14,"tt.MM.jj")),0)</f>
        <v xml:space="preserve">0, </v>
      </c>
    </row>
    <row r="15" spans="2:21" ht="11.25" customHeight="1" x14ac:dyDescent="0.25">
      <c r="B15" s="276">
        <f t="shared" si="0"/>
        <v>0</v>
      </c>
      <c r="D15" s="120"/>
      <c r="E15" s="120"/>
      <c r="F15" s="120"/>
      <c r="G15" s="150" t="str">
        <f>IF(O21=0,N24,IF(O21&lt;&gt;0,O20,0))</f>
        <v>0 0</v>
      </c>
      <c r="H15" s="123"/>
      <c r="I15" s="123"/>
      <c r="J15" s="120"/>
      <c r="R15" s="2">
        <f>Erfassung!Y15</f>
        <v>0</v>
      </c>
      <c r="S15" s="2">
        <f>Erfassung!BJ15</f>
        <v>0</v>
      </c>
      <c r="T15" s="28" t="str">
        <f>Erfassung!BK15</f>
        <v/>
      </c>
      <c r="U15" s="2" t="str">
        <f t="shared" si="1"/>
        <v xml:space="preserve">0, </v>
      </c>
    </row>
    <row r="16" spans="2:21" ht="11.25" customHeight="1" x14ac:dyDescent="0.25">
      <c r="B16" s="276">
        <f t="shared" si="0"/>
        <v>0</v>
      </c>
      <c r="D16" s="120"/>
      <c r="E16" s="120"/>
      <c r="F16" s="120"/>
      <c r="G16" s="150">
        <f>IF(O21=0,0,IF(O21&lt;&gt;0,N24,0))</f>
        <v>0</v>
      </c>
      <c r="H16" s="123"/>
      <c r="I16" s="123"/>
      <c r="J16" s="120"/>
      <c r="R16" s="2">
        <f>Erfassung!Y16</f>
        <v>0</v>
      </c>
      <c r="S16" s="2">
        <f>Erfassung!BJ16</f>
        <v>0</v>
      </c>
      <c r="T16" s="28" t="str">
        <f>Erfassung!BK16</f>
        <v/>
      </c>
      <c r="U16" s="2" t="str">
        <f t="shared" si="1"/>
        <v xml:space="preserve">0, </v>
      </c>
    </row>
    <row r="17" spans="2:21" ht="11.25" customHeight="1" x14ac:dyDescent="0.25">
      <c r="B17" s="276">
        <f t="shared" si="0"/>
        <v>0</v>
      </c>
      <c r="D17" s="120"/>
      <c r="E17" s="120"/>
      <c r="F17" s="120"/>
      <c r="G17" s="123"/>
      <c r="H17" s="123"/>
      <c r="I17" s="123"/>
      <c r="R17" s="2">
        <f>Erfassung!Y17</f>
        <v>0</v>
      </c>
      <c r="S17" s="2">
        <f>Erfassung!BJ17</f>
        <v>0</v>
      </c>
      <c r="T17" s="28" t="str">
        <f>Erfassung!BK17</f>
        <v/>
      </c>
      <c r="U17" s="2" t="str">
        <f t="shared" si="1"/>
        <v xml:space="preserve">0, </v>
      </c>
    </row>
    <row r="18" spans="2:21" ht="11.25" customHeight="1" x14ac:dyDescent="0.25">
      <c r="B18" s="276">
        <f t="shared" si="0"/>
        <v>0</v>
      </c>
      <c r="D18" s="120"/>
      <c r="E18" s="120"/>
      <c r="F18" s="120"/>
      <c r="N18" s="2" t="s">
        <v>361</v>
      </c>
      <c r="O18" s="20">
        <f>Erfassung!BP12</f>
        <v>0</v>
      </c>
      <c r="P18" s="20">
        <f>Erfassung!BQ12</f>
        <v>0</v>
      </c>
      <c r="R18" s="2">
        <f>Erfassung!Y18</f>
        <v>0</v>
      </c>
      <c r="S18" s="2">
        <f>Erfassung!BJ18</f>
        <v>0</v>
      </c>
      <c r="T18" s="28" t="str">
        <f>Erfassung!BK18</f>
        <v/>
      </c>
      <c r="U18" s="2" t="str">
        <f t="shared" si="1"/>
        <v xml:space="preserve">0, </v>
      </c>
    </row>
    <row r="19" spans="2:21" ht="11.25" customHeight="1" x14ac:dyDescent="0.25">
      <c r="B19" s="276">
        <f t="shared" si="0"/>
        <v>0</v>
      </c>
      <c r="D19" s="120"/>
      <c r="E19" s="120"/>
      <c r="F19" s="120"/>
      <c r="K19" s="275">
        <f ca="1">SUM(I28:I44)</f>
        <v>0</v>
      </c>
      <c r="O19" s="20">
        <f>Erfassung!BM12</f>
        <v>0</v>
      </c>
      <c r="R19" s="2">
        <f>Erfassung!Y19</f>
        <v>0</v>
      </c>
      <c r="S19" s="2">
        <f>Erfassung!BJ19</f>
        <v>0</v>
      </c>
      <c r="T19" s="28" t="str">
        <f>Erfassung!BK19</f>
        <v/>
      </c>
      <c r="U19" s="2" t="str">
        <f t="shared" si="1"/>
        <v xml:space="preserve">0, </v>
      </c>
    </row>
    <row r="20" spans="2:21" ht="11.25" customHeight="1" x14ac:dyDescent="0.25">
      <c r="B20" s="276">
        <f t="shared" si="0"/>
        <v>0</v>
      </c>
      <c r="D20" s="120"/>
      <c r="E20" s="120"/>
      <c r="F20" s="120"/>
      <c r="N20" s="2" t="s">
        <v>30</v>
      </c>
      <c r="O20" s="2">
        <f>Erfassung!D28</f>
        <v>0</v>
      </c>
      <c r="R20" s="2">
        <f>Erfassung!Y20</f>
        <v>0</v>
      </c>
      <c r="S20" s="2">
        <f>Erfassung!BJ20</f>
        <v>0</v>
      </c>
      <c r="T20" s="28" t="str">
        <f>Erfassung!BK20</f>
        <v/>
      </c>
      <c r="U20" s="2" t="str">
        <f t="shared" si="1"/>
        <v xml:space="preserve">0, </v>
      </c>
    </row>
    <row r="21" spans="2:21" ht="11.25" customHeight="1" x14ac:dyDescent="0.25">
      <c r="B21" s="276">
        <f t="shared" si="0"/>
        <v>0</v>
      </c>
      <c r="D21" s="120"/>
      <c r="E21" s="120"/>
      <c r="F21" s="120"/>
      <c r="N21" s="2" t="s">
        <v>363</v>
      </c>
      <c r="O21" s="20">
        <f>Erfassung!D29</f>
        <v>0</v>
      </c>
      <c r="P21" s="2" t="s">
        <v>538</v>
      </c>
      <c r="R21" s="2">
        <f>Erfassung!Y21</f>
        <v>0</v>
      </c>
      <c r="S21" s="2">
        <f>Erfassung!BJ21</f>
        <v>0</v>
      </c>
      <c r="T21" s="28" t="str">
        <f>Erfassung!BK21</f>
        <v/>
      </c>
      <c r="U21" s="2" t="str">
        <f t="shared" si="1"/>
        <v xml:space="preserve">0, </v>
      </c>
    </row>
    <row r="22" spans="2:21" ht="11.25" customHeight="1" x14ac:dyDescent="0.25">
      <c r="B22" s="276">
        <f t="shared" si="0"/>
        <v>0</v>
      </c>
      <c r="D22" s="120"/>
      <c r="E22" s="120"/>
      <c r="F22" s="120"/>
      <c r="O22" s="20">
        <f>Erfassung!D30</f>
        <v>0</v>
      </c>
      <c r="P22" s="2" t="s">
        <v>540</v>
      </c>
      <c r="Q22" s="2" t="s">
        <v>368</v>
      </c>
      <c r="R22" s="2">
        <f>Erfassung!Y22</f>
        <v>0</v>
      </c>
      <c r="S22" s="2">
        <f>Erfassung!BJ22</f>
        <v>0</v>
      </c>
      <c r="T22" s="28" t="str">
        <f>Erfassung!BK22</f>
        <v/>
      </c>
      <c r="U22" s="2" t="str">
        <f t="shared" si="1"/>
        <v xml:space="preserve">0, </v>
      </c>
    </row>
    <row r="23" spans="2:21" ht="11.25" customHeight="1" x14ac:dyDescent="0.25">
      <c r="B23" s="276">
        <f t="shared" si="0"/>
        <v>0</v>
      </c>
      <c r="D23" s="120"/>
      <c r="E23" s="120"/>
      <c r="F23" s="120"/>
      <c r="G23" s="120"/>
      <c r="H23" s="120"/>
      <c r="I23" s="120"/>
      <c r="R23" s="2">
        <f>Erfassung!Y23</f>
        <v>0</v>
      </c>
      <c r="S23" s="2">
        <f>Erfassung!BJ23</f>
        <v>0</v>
      </c>
      <c r="T23" s="28" t="str">
        <f>Erfassung!BK23</f>
        <v/>
      </c>
      <c r="U23" s="2" t="str">
        <f t="shared" si="1"/>
        <v xml:space="preserve">0, </v>
      </c>
    </row>
    <row r="24" spans="2:21" ht="11.25" customHeight="1" x14ac:dyDescent="0.25">
      <c r="B24" s="276">
        <f t="shared" si="0"/>
        <v>0</v>
      </c>
      <c r="D24" s="120"/>
      <c r="E24" s="120"/>
      <c r="F24" s="120"/>
      <c r="G24" s="120"/>
      <c r="H24" s="120"/>
      <c r="I24" s="120"/>
      <c r="J24" s="120"/>
      <c r="N24" s="2" t="str">
        <f>IF(O22&lt;&gt;0,O22,IF(O22=0,CONCATENATE(K3," ",L3),0))</f>
        <v>0 0</v>
      </c>
      <c r="O24" s="2" t="s">
        <v>539</v>
      </c>
      <c r="R24" s="2">
        <f>Erfassung!Y24</f>
        <v>0</v>
      </c>
      <c r="S24" s="2">
        <f>Erfassung!BJ24</f>
        <v>0</v>
      </c>
      <c r="T24" s="28" t="str">
        <f>Erfassung!BK24</f>
        <v/>
      </c>
      <c r="U24" s="2" t="str">
        <f t="shared" si="1"/>
        <v xml:space="preserve">0, </v>
      </c>
    </row>
    <row r="25" spans="2:21" ht="11.25" customHeight="1" x14ac:dyDescent="0.25">
      <c r="B25" s="276"/>
      <c r="R25" s="2"/>
      <c r="S25" s="2"/>
    </row>
    <row r="26" spans="2:21" ht="11.25" customHeight="1" x14ac:dyDescent="0.25">
      <c r="B26" s="276"/>
      <c r="L26" s="2" t="s">
        <v>362</v>
      </c>
      <c r="R26" s="2"/>
      <c r="S26" s="2"/>
    </row>
    <row r="27" spans="2:21" ht="11.25" customHeight="1" x14ac:dyDescent="0.25">
      <c r="B27" s="277" t="s">
        <v>64</v>
      </c>
      <c r="D27" s="120"/>
      <c r="E27" s="120"/>
      <c r="F27" s="120"/>
      <c r="G27" s="120"/>
      <c r="H27" s="120"/>
      <c r="I27" s="120"/>
      <c r="J27" s="120"/>
      <c r="L27" s="2" t="s">
        <v>372</v>
      </c>
      <c r="R27" s="2"/>
      <c r="S27" s="2"/>
    </row>
    <row r="28" spans="2:21" ht="11.25" customHeight="1" x14ac:dyDescent="0.25">
      <c r="B28" s="120">
        <f>IF(Rechnen!H45&lt;&gt;0,Rechnen!H45,0)</f>
        <v>0</v>
      </c>
      <c r="D28" s="120"/>
      <c r="E28" s="120"/>
      <c r="F28" s="120">
        <f>IF(Rechnen!P45&lt;&gt;0,Rechnen!P45,0)</f>
        <v>0</v>
      </c>
      <c r="G28" s="120"/>
      <c r="H28" s="121">
        <f ca="1">IF(AND(N4=1,Q3=12,Rechnen!R45&gt;0),Rechnen!R45,0)</f>
        <v>0</v>
      </c>
      <c r="I28" s="267">
        <f ca="1">IF(AND(H28&gt;0,H29=0,H30=0),H28,0)</f>
        <v>0</v>
      </c>
      <c r="R28" s="2"/>
      <c r="S28" s="2"/>
    </row>
    <row r="29" spans="2:21" ht="11.25" customHeight="1" x14ac:dyDescent="0.25">
      <c r="B29" s="120">
        <f>IF(Rechnen!H46&lt;&gt;0,Rechnen!H46,0)</f>
        <v>0</v>
      </c>
      <c r="D29" s="120"/>
      <c r="E29" s="120"/>
      <c r="F29" s="120">
        <f>IF(Rechnen!P46&lt;&gt;0,Rechnen!P46,0)</f>
        <v>0</v>
      </c>
      <c r="G29" s="120"/>
      <c r="H29" s="121">
        <f ca="1">IF(AND(N4=1,Q3=12,Rechnen!R46&gt;0),Rechnen!R46,0)</f>
        <v>0</v>
      </c>
      <c r="I29" s="267">
        <f ca="1">IF(AND(H28&gt;0,H29&gt;0,H30=0),SUM(H28:H29),0)</f>
        <v>0</v>
      </c>
      <c r="L29" s="2" t="s">
        <v>375</v>
      </c>
      <c r="N29" s="2" t="s">
        <v>378</v>
      </c>
      <c r="R29" s="2"/>
      <c r="S29" s="2"/>
    </row>
    <row r="30" spans="2:21" ht="11.25" customHeight="1" x14ac:dyDescent="0.25">
      <c r="B30" s="120">
        <f>IF(Rechnen!H47&lt;&gt;0,Rechnen!H47,0)</f>
        <v>0</v>
      </c>
      <c r="D30" s="120"/>
      <c r="E30" s="120"/>
      <c r="F30" s="120"/>
      <c r="G30" s="120"/>
      <c r="H30" s="121">
        <f ca="1">IF(AND(N4=1,Q3=12,Rechnen!R47&gt;0),Rechnen!R47,0)</f>
        <v>0</v>
      </c>
      <c r="I30" s="267">
        <f ca="1">IF(AND(H28&gt;0,H29&gt;0,H30&gt;0),SUM(H28:H30),0)</f>
        <v>0</v>
      </c>
      <c r="L30" s="2" t="s">
        <v>376</v>
      </c>
      <c r="R30" s="2"/>
      <c r="S30" s="2"/>
    </row>
    <row r="31" spans="2:21" ht="3.75" customHeight="1" x14ac:dyDescent="0.25">
      <c r="D31" s="120"/>
      <c r="E31" s="120"/>
      <c r="F31" s="120"/>
      <c r="G31" s="120"/>
      <c r="H31" s="120"/>
      <c r="I31" s="120"/>
      <c r="L31" s="2" t="s">
        <v>374</v>
      </c>
      <c r="R31" s="2"/>
      <c r="S31" s="2"/>
    </row>
    <row r="32" spans="2:21" ht="11.25" customHeight="1" x14ac:dyDescent="0.25">
      <c r="B32" s="120">
        <f ca="1">IF(AND(N4=1,Rechnen!Z38&gt;0),Rechnen!U38,0)</f>
        <v>0</v>
      </c>
      <c r="D32" s="120"/>
      <c r="E32" s="120"/>
      <c r="F32" s="120"/>
      <c r="G32" s="120"/>
      <c r="H32" s="121">
        <f ca="1">IF(AND(Q3=12,N4=1,Rechnen!Z38&gt;0),Rechnen!Z38,0)</f>
        <v>0</v>
      </c>
      <c r="I32" s="267">
        <f ca="1">IF(H32&gt;0,H32,0)</f>
        <v>0</v>
      </c>
      <c r="R32" s="2"/>
      <c r="S32" s="2"/>
    </row>
    <row r="33" spans="2:19" ht="11.25" customHeight="1" x14ac:dyDescent="0.25">
      <c r="B33" s="120">
        <f>IF(Rechnen!H51=0,0,IF(Rechnen!H51&lt;&gt;0,CONCATENATE(Rechnen!H51," ",Rechnen!N51),0))</f>
        <v>0</v>
      </c>
      <c r="D33" s="120"/>
      <c r="E33" s="120"/>
      <c r="F33" s="120"/>
      <c r="G33" s="120"/>
      <c r="H33" s="120"/>
      <c r="I33" s="267">
        <f ca="1">IF(AND(N2=1,Rechnen!R51=0),0,IF(AND(N2=1,Rechnen!R51&lt;&gt;0),Rechnen!R51*-1,0))</f>
        <v>0</v>
      </c>
      <c r="R33" s="2"/>
      <c r="S33" s="2"/>
    </row>
    <row r="34" spans="2:19" ht="3.75" customHeight="1" x14ac:dyDescent="0.25">
      <c r="D34" s="120"/>
      <c r="E34" s="120"/>
      <c r="F34" s="120"/>
      <c r="G34" s="120"/>
      <c r="H34" s="120"/>
      <c r="I34" s="120"/>
      <c r="L34" s="2" t="s">
        <v>377</v>
      </c>
      <c r="R34" s="2"/>
      <c r="S34" s="2"/>
    </row>
    <row r="35" spans="2:19" ht="11.25" customHeight="1" x14ac:dyDescent="0.25">
      <c r="B35" s="277" t="s">
        <v>141</v>
      </c>
      <c r="D35" s="120"/>
      <c r="E35" s="120"/>
      <c r="F35" s="120"/>
      <c r="G35" s="120"/>
      <c r="H35" s="120"/>
      <c r="I35" s="120"/>
      <c r="R35" s="2"/>
      <c r="S35" s="2"/>
    </row>
    <row r="36" spans="2:19" ht="11.25" customHeight="1" x14ac:dyDescent="0.25">
      <c r="C36" s="120">
        <f ca="1">IF(AND(N2=1,Rechnen!T70&lt;&gt;0),Rechnen!T70,0)</f>
        <v>0</v>
      </c>
      <c r="D36" s="120"/>
      <c r="E36" s="120"/>
      <c r="F36" s="120">
        <f>Rechnen!C75</f>
        <v>0</v>
      </c>
      <c r="G36" s="120"/>
      <c r="H36" s="121">
        <f ca="1">IF(AND(Q3=12,N4=1),Rechnen!N80,0)</f>
        <v>0</v>
      </c>
      <c r="I36" s="267">
        <f ca="1">IF(AND(H36&gt;0,H37=0),H36,0)</f>
        <v>0</v>
      </c>
      <c r="K36" s="2" t="s">
        <v>380</v>
      </c>
      <c r="L36" s="2">
        <f>Erfassung!R27</f>
        <v>0</v>
      </c>
      <c r="R36" s="2"/>
      <c r="S36" s="2"/>
    </row>
    <row r="37" spans="2:19" ht="11.25" customHeight="1" x14ac:dyDescent="0.25">
      <c r="C37" s="120">
        <f ca="1">IF(AND(N2=1,Rechnen!T71&lt;&gt;0),Rechnen!T71,0)</f>
        <v>0</v>
      </c>
      <c r="D37" s="120"/>
      <c r="E37" s="120"/>
      <c r="F37" s="120">
        <f>Rechnen!C76</f>
        <v>0</v>
      </c>
      <c r="G37" s="120"/>
      <c r="H37" s="121">
        <f ca="1">IF(AND(Q3=12,N4=1),Rechnen!O80,0)</f>
        <v>0</v>
      </c>
      <c r="I37" s="267">
        <f ca="1">IF(AND(H36&gt;0,H37&gt;0),SUM(H36:H37),0)</f>
        <v>0</v>
      </c>
      <c r="K37" s="2" t="s">
        <v>386</v>
      </c>
      <c r="M37" s="2" t="s">
        <v>387</v>
      </c>
      <c r="R37" s="2"/>
      <c r="S37" s="2"/>
    </row>
    <row r="38" spans="2:19" ht="4.5" customHeight="1" x14ac:dyDescent="0.25">
      <c r="D38" s="120"/>
      <c r="E38" s="120"/>
      <c r="F38" s="120"/>
      <c r="G38" s="120"/>
      <c r="H38" s="276"/>
      <c r="I38" s="276"/>
      <c r="R38" s="2"/>
      <c r="S38" s="2"/>
    </row>
    <row r="39" spans="2:19" ht="11.25" customHeight="1" x14ac:dyDescent="0.25">
      <c r="B39" s="277" t="s">
        <v>143</v>
      </c>
      <c r="D39" s="120"/>
      <c r="E39" s="120"/>
      <c r="F39" s="120"/>
      <c r="G39" s="120"/>
      <c r="H39" s="276"/>
      <c r="I39" s="276"/>
      <c r="K39" s="2">
        <f ca="1">IF(I58&gt;0,CONCATENATE(P18," ",O19,L29,TEXT(L6,"tt.MM.jjjj"),L30,TEXT(I58,"#'##0.00")," ",L31),0)</f>
        <v>0</v>
      </c>
      <c r="R39" s="2"/>
      <c r="S39" s="2"/>
    </row>
    <row r="40" spans="2:19" ht="11.25" customHeight="1" x14ac:dyDescent="0.25">
      <c r="C40" s="120">
        <f ca="1">IF(N2=1,"Prämien",0)</f>
        <v>0</v>
      </c>
      <c r="E40" s="120"/>
      <c r="G40" s="120"/>
      <c r="H40" s="121">
        <f ca="1">IF(AND(Q3=12,N4=1),'Übersicht KVG'!D32,0)</f>
        <v>0</v>
      </c>
      <c r="I40" s="267">
        <f ca="1">IF(AND(H40&gt;0,H41=0),H40,0)</f>
        <v>0</v>
      </c>
      <c r="K40" s="2" t="str">
        <f ca="1">IF(I58&lt;=0,CONCATENATE(P18," ",O19,L29,TEXT(L6,"tt.MM.jjjj"),L34,L31),0)</f>
        <v>0 0 wird ab 00.01.1900 keine Unterstützung gewährt.</v>
      </c>
      <c r="R40" s="2"/>
      <c r="S40" s="2"/>
    </row>
    <row r="41" spans="2:19" ht="11.25" customHeight="1" x14ac:dyDescent="0.25">
      <c r="C41" s="120">
        <f ca="1">IF(N2=1,"Prämienverbilligung",0)</f>
        <v>0</v>
      </c>
      <c r="E41" s="120"/>
      <c r="F41" s="120"/>
      <c r="G41" s="120"/>
      <c r="H41" s="121">
        <f ca="1">IF(AND(Q3=12,N4=1),'Übersicht KVG'!T27*-1,0)</f>
        <v>0</v>
      </c>
      <c r="I41" s="267">
        <f ca="1">IF(AND(N2=1,H40&gt;0,H41&lt;&gt;0),H40+H41,0)</f>
        <v>0</v>
      </c>
      <c r="K41" s="76" t="str">
        <f ca="1">IF(K40&lt;&gt;0,K40,IF(K39&lt;&gt;0,K39,0))</f>
        <v>0 0 wird ab 00.01.1900 keine Unterstützung gewährt.</v>
      </c>
      <c r="R41" s="2"/>
      <c r="S41" s="2"/>
    </row>
    <row r="42" spans="2:19" ht="10.5" customHeight="1" x14ac:dyDescent="0.25">
      <c r="B42" s="323">
        <f ca="1">IF(N4=1,'Übersicht KVG'!J32,0)</f>
        <v>0</v>
      </c>
      <c r="C42" s="276"/>
      <c r="D42" s="276"/>
      <c r="E42" s="276"/>
      <c r="F42" s="276"/>
      <c r="G42" s="276"/>
      <c r="H42" s="276"/>
      <c r="I42" s="276"/>
      <c r="R42" s="2"/>
      <c r="S42" s="2"/>
    </row>
    <row r="43" spans="2:19" ht="11.25" customHeight="1" x14ac:dyDescent="0.25">
      <c r="B43" s="277">
        <f ca="1">IF(AND(N2=1,Rechnen!Z36&lt;&gt;0),Rechnen!U36,0)</f>
        <v>0</v>
      </c>
      <c r="C43" s="276"/>
      <c r="D43" s="276"/>
      <c r="E43" s="276"/>
      <c r="F43" s="276"/>
      <c r="G43" s="276"/>
      <c r="H43" s="276"/>
      <c r="I43" s="276"/>
      <c r="K43" s="76">
        <f>IF(L36&lt;&gt;0,CONCATENATE(K37,P18," ",O19," ",M37),0)</f>
        <v>0</v>
      </c>
      <c r="R43" s="2"/>
      <c r="S43" s="2"/>
    </row>
    <row r="44" spans="2:19" ht="11.25" customHeight="1" x14ac:dyDescent="0.25">
      <c r="B44" s="276"/>
      <c r="C44" s="276"/>
      <c r="D44" s="276">
        <f ca="1">IF(AND(N2=1,Rechnen!Z36&lt;&gt;0),Rechnen!Z36,0)</f>
        <v>0</v>
      </c>
      <c r="E44" s="276"/>
      <c r="F44" s="276"/>
      <c r="G44" s="276"/>
      <c r="H44" s="276"/>
      <c r="I44" s="267">
        <f ca="1">IF(AND(N2=1,Rechnen!AB36&lt;&gt;0),Rechnen!AB36,0)</f>
        <v>0</v>
      </c>
      <c r="R44" s="2"/>
      <c r="S44" s="2"/>
    </row>
    <row r="45" spans="2:19" ht="3.75" customHeight="1" x14ac:dyDescent="0.25">
      <c r="D45" s="120"/>
      <c r="E45" s="120"/>
      <c r="F45" s="120"/>
      <c r="G45" s="120"/>
      <c r="H45" s="120"/>
      <c r="I45" s="120"/>
      <c r="K45" s="138" t="s">
        <v>385</v>
      </c>
      <c r="R45" s="2"/>
      <c r="S45" s="2"/>
    </row>
    <row r="46" spans="2:19" ht="11.25" customHeight="1" x14ac:dyDescent="0.25">
      <c r="B46" s="277">
        <f ca="1">IF(AND(N4=1,Einnahmen!AF28&gt;0),Einnahmen!AH5,0)</f>
        <v>0</v>
      </c>
      <c r="D46" s="120"/>
      <c r="E46" s="120"/>
      <c r="F46" s="120"/>
      <c r="G46" s="120"/>
      <c r="H46" s="120"/>
      <c r="I46" s="267">
        <f ca="1">IF(AND(N4=1,Einnahmen!AF28&gt;0),Einnahmen!AF28,0)</f>
        <v>0</v>
      </c>
      <c r="K46" s="138" t="s">
        <v>383</v>
      </c>
      <c r="R46" s="2"/>
      <c r="S46" s="2"/>
    </row>
    <row r="47" spans="2:19" ht="4.5" customHeight="1" x14ac:dyDescent="0.25">
      <c r="D47" s="120"/>
      <c r="E47" s="120"/>
      <c r="F47" s="120"/>
      <c r="G47" s="120"/>
      <c r="H47" s="120"/>
      <c r="I47" s="120"/>
      <c r="K47" s="138" t="s">
        <v>384</v>
      </c>
      <c r="R47" s="2"/>
      <c r="S47" s="2"/>
    </row>
    <row r="48" spans="2:19" ht="11.25" customHeight="1" x14ac:dyDescent="0.25">
      <c r="D48" s="120"/>
      <c r="E48" s="120"/>
      <c r="F48" s="120"/>
      <c r="G48" s="120"/>
      <c r="H48" s="120"/>
      <c r="I48" s="120"/>
      <c r="R48" s="2"/>
      <c r="S48" s="2"/>
    </row>
    <row r="49" spans="2:19" ht="11.25" customHeight="1" x14ac:dyDescent="0.25">
      <c r="B49" s="277" t="s">
        <v>271</v>
      </c>
      <c r="D49" s="120"/>
      <c r="E49" s="120"/>
      <c r="F49" s="120"/>
      <c r="G49" s="120"/>
      <c r="H49" s="120"/>
      <c r="I49" s="267">
        <f ca="1">SUM(I28:I30)+I32+I33+SUM(I36:I37)+SUM(I40:I41)+I44+I46</f>
        <v>0</v>
      </c>
      <c r="K49" s="23" t="s">
        <v>379</v>
      </c>
      <c r="L49" s="76" t="str">
        <f>CONCATENATE(O18," ",O19,K45)</f>
        <v>0 0  wird verpflichtet, sämtliche Veränderungen der Verhältnisse, die eine Änderung der Unter-</v>
      </c>
      <c r="R49" s="2"/>
      <c r="S49" s="2"/>
    </row>
    <row r="50" spans="2:19" ht="11.25" customHeight="1" x14ac:dyDescent="0.25">
      <c r="D50" s="120"/>
      <c r="E50" s="120"/>
      <c r="F50" s="120"/>
      <c r="G50" s="120"/>
      <c r="H50" s="120"/>
      <c r="I50" s="120"/>
      <c r="K50" s="23" t="s">
        <v>381</v>
      </c>
      <c r="L50" s="137" t="s">
        <v>383</v>
      </c>
      <c r="R50" s="2"/>
      <c r="S50" s="2"/>
    </row>
    <row r="51" spans="2:19" ht="11.25" customHeight="1" x14ac:dyDescent="0.25">
      <c r="B51" s="277">
        <f ca="1">IF(AND(I49&lt;&gt;0,N4=1),Einnahmen!AK56,0)</f>
        <v>0</v>
      </c>
      <c r="D51" s="120"/>
      <c r="E51" s="120"/>
      <c r="F51" s="120"/>
      <c r="G51" s="120"/>
      <c r="H51" s="120"/>
      <c r="I51" s="120"/>
      <c r="K51" s="23" t="s">
        <v>382</v>
      </c>
      <c r="L51" s="137" t="s">
        <v>384</v>
      </c>
      <c r="R51" s="2"/>
      <c r="S51" s="2"/>
    </row>
    <row r="52" spans="2:19" ht="11.25" customHeight="1" x14ac:dyDescent="0.25">
      <c r="B52" s="120">
        <f ca="1">IF($N$4=1,Einnahmen!AJ51,0)</f>
        <v>0</v>
      </c>
      <c r="C52" s="120"/>
      <c r="D52" s="276"/>
      <c r="E52" s="276"/>
      <c r="F52" s="276"/>
      <c r="G52" s="276"/>
      <c r="H52" s="121">
        <f ca="1">IF(AND(Q3=12,$N$4=1),Einnahmen!AK51,0)</f>
        <v>0</v>
      </c>
      <c r="I52" s="267">
        <f ca="1">IF(AND(H52&gt;0,H53=0,H54=0,H55=0,H56=0),H52,0)</f>
        <v>0</v>
      </c>
      <c r="R52" s="2"/>
      <c r="S52" s="2"/>
    </row>
    <row r="53" spans="2:19" ht="11.25" customHeight="1" x14ac:dyDescent="0.25">
      <c r="B53" s="120">
        <f ca="1">IF($N$4=1,Einnahmen!AJ52,0)</f>
        <v>0</v>
      </c>
      <c r="C53" s="120"/>
      <c r="D53" s="276"/>
      <c r="E53" s="276"/>
      <c r="F53" s="276"/>
      <c r="G53" s="276"/>
      <c r="H53" s="121">
        <f ca="1">IF(AND(Q3=12,$N$4=1),Einnahmen!AK52,0)</f>
        <v>0</v>
      </c>
      <c r="I53" s="267">
        <f ca="1">IF(AND(H52&gt;0,H53&gt;0,H54=0,H55=0,H56=0),SUM(H52:H53),0)</f>
        <v>0</v>
      </c>
      <c r="R53" s="2"/>
      <c r="S53" s="2"/>
    </row>
    <row r="54" spans="2:19" ht="11.25" customHeight="1" x14ac:dyDescent="0.25">
      <c r="B54" s="120">
        <f ca="1">IF($N$4=1,Einnahmen!AJ53,0)</f>
        <v>0</v>
      </c>
      <c r="C54" s="120"/>
      <c r="D54" s="276"/>
      <c r="E54" s="276"/>
      <c r="F54" s="276"/>
      <c r="G54" s="276"/>
      <c r="H54" s="121">
        <f ca="1">IF(AND(Q3=12,$N$4=1),Einnahmen!AK53,0)</f>
        <v>0</v>
      </c>
      <c r="I54" s="267">
        <f ca="1">IF(AND(H52&gt;0,H53&gt;0,H54&gt;0,H55=0,H56=0),SUM(H52:H54),0)</f>
        <v>0</v>
      </c>
      <c r="R54" s="2"/>
      <c r="S54" s="2"/>
    </row>
    <row r="55" spans="2:19" ht="11.25" customHeight="1" x14ac:dyDescent="0.25">
      <c r="B55" s="120">
        <f ca="1">IF($N$4=1,Einnahmen!AJ54,0)</f>
        <v>0</v>
      </c>
      <c r="C55" s="120"/>
      <c r="D55" s="276"/>
      <c r="E55" s="276"/>
      <c r="F55" s="276"/>
      <c r="G55" s="276"/>
      <c r="H55" s="121">
        <f ca="1">IF(AND($Q$3=12,$N$4=1),Einnahmen!AK54,0)</f>
        <v>0</v>
      </c>
      <c r="I55" s="267">
        <f ca="1">IF(AND(H52&gt;0,H53&gt;0,H54&gt;0,H55&gt;0,H56=0),SUM(H52:H55),0)</f>
        <v>0</v>
      </c>
      <c r="R55" s="2"/>
      <c r="S55" s="2"/>
    </row>
    <row r="56" spans="2:19" s="273" customFormat="1" ht="11.25" customHeight="1" x14ac:dyDescent="0.25">
      <c r="B56" s="120">
        <f ca="1">IF($N$4=1,Einnahmen!AJ55,0)</f>
        <v>0</v>
      </c>
      <c r="C56" s="120"/>
      <c r="D56" s="120"/>
      <c r="E56" s="120"/>
      <c r="F56" s="120"/>
      <c r="G56" s="120"/>
      <c r="H56" s="121">
        <f ca="1">IF(AND($Q$3=12,$N$4=1),Einnahmen!AK55,0)</f>
        <v>0</v>
      </c>
      <c r="I56" s="267">
        <f ca="1">IF(AND(H52&gt;0,H53&gt;0,H54&gt;0,H55&gt;0,H56&gt;0),SUM(H52:H56),0)</f>
        <v>0</v>
      </c>
      <c r="K56" s="274"/>
      <c r="L56" s="274"/>
      <c r="M56" s="274"/>
      <c r="N56" s="274"/>
      <c r="O56" s="274"/>
      <c r="P56" s="274"/>
      <c r="Q56" s="274"/>
      <c r="R56" s="274"/>
      <c r="S56" s="274"/>
    </row>
    <row r="57" spans="2:19" ht="3" customHeight="1" x14ac:dyDescent="0.25">
      <c r="D57" s="120"/>
      <c r="E57" s="120"/>
      <c r="F57" s="120"/>
      <c r="G57" s="120"/>
      <c r="H57" s="120"/>
      <c r="I57" s="120"/>
      <c r="K57" s="140" t="s">
        <v>388</v>
      </c>
      <c r="R57" s="2"/>
      <c r="S57" s="2"/>
    </row>
    <row r="58" spans="2:19" ht="11.25" customHeight="1" x14ac:dyDescent="0.25">
      <c r="B58" s="277" t="s">
        <v>336</v>
      </c>
      <c r="D58" s="120"/>
      <c r="E58" s="120"/>
      <c r="F58" s="120"/>
      <c r="G58" s="120"/>
      <c r="H58" s="120"/>
      <c r="I58" s="267">
        <f ca="1">I49-SUM(I52:I56)</f>
        <v>0</v>
      </c>
      <c r="K58" s="140" t="s">
        <v>389</v>
      </c>
      <c r="R58" s="2"/>
      <c r="S58" s="2"/>
    </row>
    <row r="59" spans="2:19" ht="1.5" customHeight="1" x14ac:dyDescent="0.25">
      <c r="C59" s="120"/>
      <c r="D59" s="120"/>
      <c r="E59" s="120"/>
      <c r="F59" s="120"/>
      <c r="G59" s="120"/>
      <c r="H59" s="120"/>
      <c r="I59" s="148">
        <f ca="1">I58</f>
        <v>0</v>
      </c>
      <c r="J59" s="120"/>
      <c r="K59" s="140" t="s">
        <v>390</v>
      </c>
      <c r="R59" s="2"/>
      <c r="S59" s="2"/>
    </row>
    <row r="60" spans="2:19" ht="11.25" customHeight="1" x14ac:dyDescent="0.25">
      <c r="J60" s="120"/>
      <c r="K60" s="140" t="s">
        <v>391</v>
      </c>
      <c r="R60" s="2"/>
      <c r="S60" s="2"/>
    </row>
    <row r="61" spans="2:19" ht="11.25" customHeight="1" x14ac:dyDescent="0.25">
      <c r="B61" s="119">
        <f ca="1">IF(B4=L26,N29,0)</f>
        <v>0</v>
      </c>
      <c r="C61" s="120"/>
      <c r="D61" s="120"/>
      <c r="E61" s="120"/>
      <c r="F61" s="120"/>
      <c r="G61" s="120"/>
      <c r="H61" s="120"/>
      <c r="I61" s="120"/>
      <c r="J61" s="120"/>
      <c r="R61" s="2"/>
      <c r="S61" s="2"/>
    </row>
    <row r="62" spans="2:19" ht="11.25" customHeight="1" x14ac:dyDescent="0.25">
      <c r="B62" s="120">
        <f ca="1">IF(B61&lt;&gt;0,K49,0)</f>
        <v>0</v>
      </c>
      <c r="C62" s="120">
        <f ca="1">IF(B62&lt;&gt;0,K41,0)</f>
        <v>0</v>
      </c>
      <c r="D62" s="120"/>
      <c r="E62" s="120"/>
      <c r="F62" s="120"/>
      <c r="G62" s="120"/>
      <c r="H62" s="120"/>
      <c r="I62" s="120"/>
      <c r="J62" s="120"/>
      <c r="R62" s="2"/>
      <c r="S62" s="2"/>
    </row>
    <row r="63" spans="2:19" ht="11.25" customHeight="1" x14ac:dyDescent="0.25">
      <c r="B63" s="120">
        <f ca="1">IF(B61&lt;&gt;0,K50,0)</f>
        <v>0</v>
      </c>
      <c r="C63" s="120">
        <f ca="1">IF(AND(B61&gt;0,K43&lt;&gt;0),K43,IF(AND(B61&gt;0,K43=0),L49,0))</f>
        <v>0</v>
      </c>
      <c r="D63" s="120"/>
      <c r="E63" s="120"/>
      <c r="F63" s="120"/>
      <c r="G63" s="120"/>
      <c r="H63" s="120"/>
      <c r="I63" s="120"/>
      <c r="J63" s="120"/>
      <c r="R63" s="2"/>
      <c r="S63" s="2"/>
    </row>
    <row r="64" spans="2:19" ht="11.25" customHeight="1" x14ac:dyDescent="0.25">
      <c r="B64" s="120">
        <f ca="1">IF(AND(B61&lt;&gt;0,K43&lt;&gt;0),K51,0)</f>
        <v>0</v>
      </c>
      <c r="C64" s="120">
        <f ca="1">IF(AND(B61&lt;&gt;0,K43=0),L50,IF(AND(B61&lt;&gt;0,K43&lt;&gt;0),L49,0))</f>
        <v>0</v>
      </c>
      <c r="D64" s="120"/>
      <c r="E64" s="120"/>
      <c r="F64" s="120"/>
      <c r="G64" s="120"/>
      <c r="H64" s="120"/>
      <c r="I64" s="120"/>
      <c r="J64" s="120"/>
      <c r="R64" s="2"/>
      <c r="S64" s="2"/>
    </row>
    <row r="65" spans="2:19" ht="11.25" customHeight="1" x14ac:dyDescent="0.25">
      <c r="C65" s="120">
        <f ca="1">IF(AND(B61&lt;&gt;0,K43=0),L51,IF(AND(B61&lt;&gt;0,K43&lt;&gt;0),L50,0))</f>
        <v>0</v>
      </c>
      <c r="D65" s="120"/>
      <c r="E65" s="120"/>
      <c r="F65" s="120"/>
      <c r="G65" s="120"/>
      <c r="H65" s="120"/>
      <c r="I65" s="120"/>
      <c r="J65" s="120"/>
      <c r="R65" s="2"/>
      <c r="S65" s="2"/>
    </row>
    <row r="66" spans="2:19" ht="11.25" customHeight="1" x14ac:dyDescent="0.25">
      <c r="C66" s="120">
        <f ca="1">IF(AND(B61&lt;&gt;0,K43&lt;&gt;0),L51,0)</f>
        <v>0</v>
      </c>
      <c r="D66" s="120"/>
      <c r="E66" s="120"/>
      <c r="F66" s="120"/>
      <c r="G66" s="120"/>
      <c r="H66" s="120"/>
      <c r="I66" s="120"/>
      <c r="J66" s="120"/>
      <c r="R66" s="2"/>
      <c r="S66" s="2"/>
    </row>
    <row r="67" spans="2:19" ht="11.25" customHeight="1" x14ac:dyDescent="0.25">
      <c r="C67" s="324"/>
      <c r="D67" s="120"/>
      <c r="E67" s="120"/>
      <c r="F67" s="120"/>
      <c r="G67" s="120"/>
      <c r="H67" s="120"/>
      <c r="I67" s="120"/>
      <c r="J67" s="120"/>
      <c r="R67" s="2"/>
      <c r="S67" s="2"/>
    </row>
    <row r="68" spans="2:19" ht="11.25" customHeight="1" x14ac:dyDescent="0.25">
      <c r="B68" s="119">
        <f ca="1">IF(I58&lt;&gt;0,K57,0)</f>
        <v>0</v>
      </c>
      <c r="C68" s="120"/>
      <c r="D68" s="120"/>
      <c r="E68" s="120"/>
      <c r="F68" s="120"/>
      <c r="G68" s="120"/>
      <c r="H68" s="120"/>
      <c r="I68" s="120"/>
      <c r="J68" s="120"/>
      <c r="K68" s="2" t="s">
        <v>596</v>
      </c>
      <c r="R68" s="2"/>
      <c r="S68" s="2"/>
    </row>
    <row r="69" spans="2:19" ht="11.25" customHeight="1" x14ac:dyDescent="0.25">
      <c r="B69" s="276">
        <f ca="1">IF($B$61&lt;&gt;0,K58,IF(AND(B61=0,I58&lt;&gt;0),K69,0))</f>
        <v>0</v>
      </c>
      <c r="C69" s="120"/>
      <c r="D69" s="120"/>
      <c r="E69" s="120"/>
      <c r="F69" s="120"/>
      <c r="G69" s="120"/>
      <c r="H69" s="120"/>
      <c r="I69" s="120"/>
      <c r="J69" s="120"/>
      <c r="K69" s="2" t="s">
        <v>598</v>
      </c>
      <c r="R69" s="2"/>
      <c r="S69" s="2"/>
    </row>
    <row r="70" spans="2:19" ht="11.25" customHeight="1" x14ac:dyDescent="0.25">
      <c r="B70" s="276">
        <f ca="1">IF($B$61&lt;&gt;0,K59,IF(AND(B61=0,I58&lt;&gt;0),K70,0))</f>
        <v>0</v>
      </c>
      <c r="C70" s="120"/>
      <c r="D70" s="120"/>
      <c r="E70" s="120"/>
      <c r="F70" s="120"/>
      <c r="G70" s="120"/>
      <c r="H70" s="120"/>
      <c r="I70" s="120"/>
      <c r="J70" s="120"/>
      <c r="K70" s="2" t="s">
        <v>597</v>
      </c>
      <c r="R70" s="2"/>
      <c r="S70" s="2"/>
    </row>
    <row r="71" spans="2:19" ht="11.25" customHeight="1" x14ac:dyDescent="0.25">
      <c r="B71" s="276">
        <f ca="1">IF($B$61&lt;&gt;0,K60,0)</f>
        <v>0</v>
      </c>
      <c r="C71" s="120"/>
      <c r="D71" s="120"/>
      <c r="E71" s="120"/>
      <c r="F71" s="120"/>
      <c r="G71" s="120"/>
      <c r="H71" s="120"/>
      <c r="I71" s="120"/>
      <c r="J71" s="146"/>
      <c r="K71" s="143"/>
      <c r="L71" s="143"/>
      <c r="M71" s="143"/>
      <c r="N71" s="143"/>
      <c r="R71" s="2"/>
      <c r="S71" s="2"/>
    </row>
    <row r="72" spans="2:19" ht="11.25" customHeight="1" x14ac:dyDescent="0.25">
      <c r="B72" s="145"/>
      <c r="C72" s="145"/>
      <c r="D72" s="145"/>
      <c r="E72" s="145"/>
      <c r="F72" s="145"/>
      <c r="G72" s="143"/>
      <c r="H72" s="143"/>
      <c r="J72" s="143"/>
      <c r="K72" s="143"/>
      <c r="L72" s="143"/>
      <c r="M72" s="143"/>
      <c r="N72" s="143"/>
      <c r="R72" s="2"/>
      <c r="S72" s="2"/>
    </row>
    <row r="73" spans="2:19" ht="11.25" customHeight="1" x14ac:dyDescent="0.25">
      <c r="B73" s="145"/>
      <c r="C73" s="145"/>
      <c r="D73" s="145"/>
      <c r="E73" s="145"/>
      <c r="F73" s="146" t="s">
        <v>392</v>
      </c>
      <c r="G73" s="141"/>
      <c r="H73" s="141"/>
      <c r="J73" s="141"/>
      <c r="K73" s="141"/>
      <c r="L73" s="141"/>
      <c r="M73" s="141"/>
      <c r="N73" s="141"/>
      <c r="R73" s="2"/>
      <c r="S73" s="2"/>
    </row>
    <row r="74" spans="2:19" ht="11.25" customHeight="1" x14ac:dyDescent="0.25">
      <c r="D74" s="145"/>
      <c r="E74" s="145"/>
      <c r="F74" s="143"/>
      <c r="G74" s="143"/>
      <c r="H74" s="146"/>
      <c r="J74" s="144"/>
      <c r="K74" s="144"/>
      <c r="L74" s="144"/>
      <c r="M74" s="141"/>
      <c r="N74" s="141"/>
      <c r="R74" s="2"/>
      <c r="S74" s="2"/>
    </row>
    <row r="75" spans="2:19" ht="11.25" customHeight="1" x14ac:dyDescent="0.25">
      <c r="D75" s="141"/>
      <c r="E75" s="141"/>
      <c r="F75" s="141"/>
      <c r="G75" s="141"/>
      <c r="H75" s="141"/>
      <c r="J75" s="142"/>
      <c r="K75" s="136"/>
      <c r="L75" s="145"/>
      <c r="R75" s="2"/>
      <c r="S75" s="2"/>
    </row>
    <row r="76" spans="2:19" ht="11.25" customHeight="1" x14ac:dyDescent="0.25">
      <c r="B76" s="149">
        <f>IF(K3=0,0,IF(K3&gt;0,L3&amp;",",0))</f>
        <v>0</v>
      </c>
      <c r="C76" s="149"/>
      <c r="D76" s="139"/>
      <c r="E76" s="120"/>
      <c r="F76" s="141"/>
      <c r="G76" s="139"/>
      <c r="H76" s="139"/>
      <c r="J76" s="120"/>
      <c r="R76" s="2"/>
      <c r="S76" s="2"/>
    </row>
    <row r="77" spans="2:19" ht="11.25" customHeight="1" x14ac:dyDescent="0.25">
      <c r="B77" s="143" t="s">
        <v>393</v>
      </c>
      <c r="C77" s="143"/>
      <c r="D77" s="120"/>
      <c r="E77" s="120"/>
      <c r="F77" s="147" t="s">
        <v>394</v>
      </c>
      <c r="H77" s="120" t="s">
        <v>401</v>
      </c>
      <c r="I77" s="147"/>
      <c r="J77" s="120"/>
      <c r="R77" s="2"/>
      <c r="S77" s="2"/>
    </row>
    <row r="78" spans="2:19" ht="11.25" customHeight="1" x14ac:dyDescent="0.25"/>
    <row r="79" spans="2:19" ht="11.25" customHeight="1" x14ac:dyDescent="0.25"/>
    <row r="80" spans="2:19" ht="11.25" customHeight="1" x14ac:dyDescent="0.25"/>
    <row r="81" ht="11.25" customHeight="1" x14ac:dyDescent="0.25"/>
  </sheetData>
  <sheetProtection password="F801" sheet="1" objects="1" scenarios="1" selectLockedCells="1"/>
  <conditionalFormatting sqref="I49">
    <cfRule type="cellIs" dxfId="12" priority="6" operator="notEqual">
      <formula>0</formula>
    </cfRule>
  </conditionalFormatting>
  <conditionalFormatting sqref="I52:I56">
    <cfRule type="cellIs" dxfId="11" priority="5" operator="notEqual">
      <formula>0</formula>
    </cfRule>
  </conditionalFormatting>
  <conditionalFormatting sqref="I58">
    <cfRule type="cellIs" dxfId="10" priority="3" operator="notEqual">
      <formula>0</formula>
    </cfRule>
  </conditionalFormatting>
  <conditionalFormatting sqref="I59">
    <cfRule type="cellIs" dxfId="9" priority="2" operator="notEqual">
      <formula>0</formula>
    </cfRule>
  </conditionalFormatting>
  <conditionalFormatting sqref="G15">
    <cfRule type="cellIs" dxfId="8" priority="1" operator="equal">
      <formula>"0 0"</formula>
    </cfRule>
  </conditionalFormatting>
  <pageMargins left="0.59055118110236227" right="0.19685039370078741" top="0.19685039370078741" bottom="0.39370078740157483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 fitToPage="1"/>
  </sheetPr>
  <dimension ref="A1:CA94"/>
  <sheetViews>
    <sheetView showGridLines="0" showRowColHeaders="0" showZeros="0" zoomScale="93" zoomScaleNormal="93" workbookViewId="0">
      <selection activeCell="P33" sqref="P33"/>
    </sheetView>
  </sheetViews>
  <sheetFormatPr baseColWidth="10" defaultRowHeight="13.8" x14ac:dyDescent="0.25"/>
  <cols>
    <col min="1" max="1" width="1.09765625" customWidth="1"/>
    <col min="2" max="2" width="3.8984375" customWidth="1"/>
    <col min="3" max="3" width="1.69921875" customWidth="1"/>
    <col min="4" max="4" width="6.8984375" bestFit="1" customWidth="1"/>
    <col min="5" max="5" width="6.69921875" bestFit="1" customWidth="1"/>
    <col min="6" max="6" width="3.09765625" customWidth="1"/>
    <col min="7" max="7" width="3.8984375" customWidth="1"/>
    <col min="8" max="8" width="3" customWidth="1"/>
    <col min="9" max="9" width="1.59765625" customWidth="1"/>
    <col min="10" max="10" width="2.09765625" customWidth="1"/>
    <col min="11" max="11" width="4" customWidth="1"/>
    <col min="12" max="12" width="5" bestFit="1" customWidth="1"/>
    <col min="13" max="13" width="5" customWidth="1"/>
    <col min="14" max="14" width="1.59765625" bestFit="1" customWidth="1"/>
    <col min="15" max="17" width="6.59765625" customWidth="1"/>
    <col min="18" max="19" width="7.3984375" customWidth="1"/>
    <col min="20" max="20" width="5.5" hidden="1" customWidth="1"/>
    <col min="21" max="39" width="6.3984375" hidden="1" customWidth="1"/>
    <col min="40" max="40" width="11" hidden="1" customWidth="1"/>
    <col min="41" max="41" width="8.19921875" hidden="1" customWidth="1"/>
    <col min="42" max="42" width="9.19921875" hidden="1" customWidth="1"/>
    <col min="43" max="57" width="6.3984375" hidden="1" customWidth="1"/>
    <col min="58" max="58" width="6.09765625" hidden="1" customWidth="1"/>
    <col min="59" max="59" width="2.8984375" hidden="1" customWidth="1"/>
    <col min="60" max="60" width="7.69921875" hidden="1" customWidth="1"/>
    <col min="61" max="62" width="6.09765625" hidden="1" customWidth="1"/>
    <col min="63" max="63" width="2.3984375" hidden="1" customWidth="1"/>
    <col min="64" max="64" width="6.69921875" hidden="1" customWidth="1"/>
    <col min="65" max="65" width="6.19921875" hidden="1" customWidth="1"/>
    <col min="66" max="66" width="8.09765625" hidden="1" customWidth="1"/>
    <col min="67" max="68" width="11" hidden="1" customWidth="1"/>
    <col min="69" max="70" width="6.09765625" hidden="1" customWidth="1"/>
    <col min="71" max="74" width="2.3984375" hidden="1" customWidth="1"/>
    <col min="75" max="75" width="4.09765625" hidden="1" customWidth="1"/>
    <col min="76" max="76" width="2.8984375" hidden="1" customWidth="1"/>
    <col min="77" max="77" width="3.09765625" hidden="1" customWidth="1"/>
    <col min="78" max="78" width="6.69921875" hidden="1" customWidth="1"/>
    <col min="79" max="79" width="11" customWidth="1"/>
  </cols>
  <sheetData>
    <row r="1" spans="2:79" ht="6.75" customHeight="1" x14ac:dyDescent="0.25">
      <c r="Y1" s="2"/>
      <c r="Z1" s="2"/>
      <c r="AA1" s="2"/>
      <c r="AB1" s="2"/>
    </row>
    <row r="2" spans="2:79" hidden="1" x14ac:dyDescent="0.25">
      <c r="Y2" s="2"/>
      <c r="BI2" s="274" t="s">
        <v>606</v>
      </c>
      <c r="BJ2" s="274" t="s">
        <v>607</v>
      </c>
      <c r="BL2" s="158" t="s">
        <v>608</v>
      </c>
      <c r="BM2" s="329"/>
      <c r="BN2" s="329"/>
      <c r="BO2" s="329"/>
      <c r="BP2" s="307"/>
      <c r="BQ2" s="274" t="s">
        <v>609</v>
      </c>
    </row>
    <row r="3" spans="2:79" hidden="1" x14ac:dyDescent="0.25">
      <c r="Y3" s="2"/>
      <c r="BA3" s="28">
        <f>Rechnen!F11</f>
        <v>43101</v>
      </c>
      <c r="BB3" s="28">
        <f>EDATE(BA3,1)</f>
        <v>43132</v>
      </c>
      <c r="BC3" s="2">
        <f>BB3-BA3</f>
        <v>31</v>
      </c>
      <c r="BD3" s="2">
        <f>IF(MONTH(BA3)=MONTH($R$11),BC3,0)</f>
        <v>31</v>
      </c>
      <c r="BE3" s="28">
        <f>IF(BD3&gt;0,BA3,0)</f>
        <v>43101</v>
      </c>
      <c r="BF3" s="28">
        <f>IF(BD3&gt;0,BB3,0)</f>
        <v>43132</v>
      </c>
      <c r="BH3" s="28">
        <f>IF(BD3&gt;0,BF3-1,0)</f>
        <v>43131</v>
      </c>
      <c r="BI3" s="274">
        <f>IF(AND($BB$33&gt;0,$BC$33&gt;0,MONTH($BB$33)=MONTH(BA3),MONTH($BC$33)=MONTH(BA3)),1,0)</f>
        <v>0</v>
      </c>
      <c r="BJ3" s="274">
        <f>IF(AND($BB$33&gt;0,$BC$33&gt;0,MONTH($BB$33)=MONTH(BA3),MONTH($BC$33)=MONTH(BB3)),1,0)</f>
        <v>0</v>
      </c>
      <c r="BL3" s="274">
        <f>IF(BI3=1,BC3,0)</f>
        <v>0</v>
      </c>
      <c r="BM3" s="28">
        <f>$BB$33</f>
        <v>0</v>
      </c>
      <c r="BN3" s="28">
        <f>IF(AND(MONTH($Q$33)=MONTH(BA3),MONTH($P$33)=MONTH(BA3)),$Q$33,0)</f>
        <v>0</v>
      </c>
      <c r="BO3" s="274">
        <f>IF(BL3&gt;0,BN3-BM3+1,0)</f>
        <v>0</v>
      </c>
      <c r="BP3" s="8">
        <f>IF(BL3&gt;0,ROUND($BE$39/BL3*BO3*20,0)/20,0)</f>
        <v>0</v>
      </c>
      <c r="BQ3" s="274">
        <f>IF(BJ3=1,BC3,0)</f>
        <v>0</v>
      </c>
      <c r="BR3" s="274">
        <f>IF(AND(BJ3=1,MONTH($Q$33)=MONTH(BB3)),BC4,0)</f>
        <v>0</v>
      </c>
      <c r="BS3" s="274">
        <f>IF(BJ3=1,BB3-$BB$33,0)</f>
        <v>0</v>
      </c>
      <c r="BT3" s="274">
        <f>IF(BJ3=1,$BC$33-BB3+1,0)</f>
        <v>0</v>
      </c>
      <c r="BU3" s="330">
        <f>IF(BJ3=1,ROUND($BE$39/BQ3*BS3*20,0)/20,0)</f>
        <v>0</v>
      </c>
      <c r="BV3" s="274">
        <f>IF(BJ3=1,ROUND($BE$39/BR3*BT3*20,0)/20,0)</f>
        <v>0</v>
      </c>
      <c r="BW3" s="151">
        <f>BV3+BU3</f>
        <v>0</v>
      </c>
      <c r="BX3" s="274"/>
      <c r="BY3" s="274"/>
      <c r="BZ3" s="151">
        <f>BW3+BP3</f>
        <v>0</v>
      </c>
      <c r="CA3" s="151"/>
    </row>
    <row r="4" spans="2:79" hidden="1" x14ac:dyDescent="0.25">
      <c r="Y4" s="2"/>
      <c r="BA4" s="28">
        <f>BB3</f>
        <v>43132</v>
      </c>
      <c r="BB4" s="28">
        <f>EDATE(BA4,1)</f>
        <v>43160</v>
      </c>
      <c r="BC4" s="2">
        <f t="shared" ref="BC4:BC14" si="0">BB4-BA4</f>
        <v>28</v>
      </c>
      <c r="BD4" s="2">
        <f t="shared" ref="BD4:BD14" si="1">IF(MONTH(BA4)=MONTH($R$11),BC4,0)</f>
        <v>0</v>
      </c>
      <c r="BE4" s="28">
        <f t="shared" ref="BE4:BE14" si="2">IF(BD4&gt;0,BA4,0)</f>
        <v>0</v>
      </c>
      <c r="BF4" s="28">
        <f t="shared" ref="BF4:BF14" si="3">IF(BD4&gt;0,BB4,0)</f>
        <v>0</v>
      </c>
      <c r="BH4" s="28">
        <f t="shared" ref="BH4:BH14" si="4">IF(BD4&gt;0,BF4-1,0)</f>
        <v>0</v>
      </c>
      <c r="BI4" s="274">
        <f t="shared" ref="BI4:BI14" si="5">IF(AND($BB$33&gt;0,$BC$33&gt;0,MONTH($BB$33)=MONTH(BA4),MONTH($BC$33)=MONTH(BA4)),1,0)</f>
        <v>0</v>
      </c>
      <c r="BJ4" s="274">
        <f t="shared" ref="BJ4:BJ14" si="6">IF(AND($BB$33&gt;0,$BC$33&gt;0,MONTH($BB$33)=MONTH(BA4),MONTH($BC$33)=MONTH(BB4)),1,0)</f>
        <v>0</v>
      </c>
      <c r="BL4" s="274">
        <f t="shared" ref="BL4:BL14" si="7">IF(BI4=1,BC4,0)</f>
        <v>0</v>
      </c>
      <c r="BM4" s="28">
        <f t="shared" ref="BM4:BM14" si="8">$BB$33</f>
        <v>0</v>
      </c>
      <c r="BN4" s="28">
        <f t="shared" ref="BN4:BN14" si="9">IF(AND(MONTH($Q$33)=MONTH(BA4),MONTH($P$33)=MONTH(BA4)),$Q$33,0)</f>
        <v>0</v>
      </c>
      <c r="BO4" s="274">
        <f t="shared" ref="BO4:BO14" si="10">IF(BL4&gt;0,BN4-BM4+1,0)</f>
        <v>0</v>
      </c>
      <c r="BP4" s="8">
        <f t="shared" ref="BP4:BP14" si="11">IF(BL4&gt;0,ROUND($BE$39/BL4*BO4*20,0)/20,0)</f>
        <v>0</v>
      </c>
      <c r="BQ4" s="274">
        <f t="shared" ref="BQ4:BQ14" si="12">IF(BJ4=1,BC4,0)</f>
        <v>0</v>
      </c>
      <c r="BR4" s="274">
        <f t="shared" ref="BR4:BR14" si="13">IF(AND(BJ4=1,MONTH($Q$33)=MONTH(BB4)),BC5,0)</f>
        <v>0</v>
      </c>
      <c r="BS4" s="274">
        <f t="shared" ref="BS4:BS14" si="14">IF(BJ4=1,BB4-$BB$33,0)</f>
        <v>0</v>
      </c>
      <c r="BT4" s="274">
        <f t="shared" ref="BT4:BT14" si="15">IF(BJ4=1,$BC$33-BB4+1,0)</f>
        <v>0</v>
      </c>
      <c r="BU4" s="330">
        <f t="shared" ref="BU4:BU14" si="16">IF(BJ4=1,ROUND($BE$39/BQ4*BS4*20,0)/20,0)</f>
        <v>0</v>
      </c>
      <c r="BV4" s="274">
        <f t="shared" ref="BV4:BV14" si="17">IF(BJ4=1,ROUND($BE$39/BR4*BT4*20,0)/20,0)</f>
        <v>0</v>
      </c>
      <c r="BW4" s="151">
        <f t="shared" ref="BW4:BW14" si="18">BV4+BU4</f>
        <v>0</v>
      </c>
      <c r="BX4" s="274"/>
      <c r="BY4" s="274"/>
      <c r="BZ4" s="151">
        <f t="shared" ref="BZ4:BZ14" si="19">BW4+BP4</f>
        <v>0</v>
      </c>
      <c r="CA4" s="151"/>
    </row>
    <row r="5" spans="2:79" hidden="1" x14ac:dyDescent="0.25">
      <c r="Y5" s="2"/>
      <c r="BA5" s="28">
        <f t="shared" ref="BA5:BA13" si="20">BB4</f>
        <v>43160</v>
      </c>
      <c r="BB5" s="28">
        <f t="shared" ref="BB5:BB13" si="21">EDATE(BA5,1)</f>
        <v>43191</v>
      </c>
      <c r="BC5" s="2">
        <f t="shared" si="0"/>
        <v>31</v>
      </c>
      <c r="BD5" s="2">
        <f t="shared" si="1"/>
        <v>0</v>
      </c>
      <c r="BE5" s="28">
        <f t="shared" si="2"/>
        <v>0</v>
      </c>
      <c r="BF5" s="28">
        <f t="shared" si="3"/>
        <v>0</v>
      </c>
      <c r="BH5" s="28">
        <f t="shared" si="4"/>
        <v>0</v>
      </c>
      <c r="BI5" s="274">
        <f t="shared" si="5"/>
        <v>0</v>
      </c>
      <c r="BJ5" s="274">
        <f t="shared" si="6"/>
        <v>0</v>
      </c>
      <c r="BL5" s="274">
        <f t="shared" si="7"/>
        <v>0</v>
      </c>
      <c r="BM5" s="28">
        <f t="shared" si="8"/>
        <v>0</v>
      </c>
      <c r="BN5" s="28">
        <f t="shared" si="9"/>
        <v>0</v>
      </c>
      <c r="BO5" s="274">
        <f t="shared" si="10"/>
        <v>0</v>
      </c>
      <c r="BP5" s="8">
        <f t="shared" si="11"/>
        <v>0</v>
      </c>
      <c r="BQ5" s="274">
        <f t="shared" si="12"/>
        <v>0</v>
      </c>
      <c r="BR5" s="274">
        <f t="shared" si="13"/>
        <v>0</v>
      </c>
      <c r="BS5" s="274">
        <f t="shared" si="14"/>
        <v>0</v>
      </c>
      <c r="BT5" s="274">
        <f t="shared" si="15"/>
        <v>0</v>
      </c>
      <c r="BU5" s="330">
        <f t="shared" si="16"/>
        <v>0</v>
      </c>
      <c r="BV5" s="274">
        <f t="shared" si="17"/>
        <v>0</v>
      </c>
      <c r="BW5" s="151">
        <f t="shared" si="18"/>
        <v>0</v>
      </c>
      <c r="BX5" s="274"/>
      <c r="BY5" s="274"/>
      <c r="BZ5" s="151">
        <f t="shared" si="19"/>
        <v>0</v>
      </c>
      <c r="CA5" s="151"/>
    </row>
    <row r="6" spans="2:79" hidden="1" x14ac:dyDescent="0.25">
      <c r="Y6" s="2"/>
      <c r="BA6" s="28">
        <f t="shared" si="20"/>
        <v>43191</v>
      </c>
      <c r="BB6" s="28">
        <f t="shared" si="21"/>
        <v>43221</v>
      </c>
      <c r="BC6" s="2">
        <f t="shared" si="0"/>
        <v>30</v>
      </c>
      <c r="BD6" s="2">
        <f t="shared" si="1"/>
        <v>0</v>
      </c>
      <c r="BE6" s="28">
        <f t="shared" si="2"/>
        <v>0</v>
      </c>
      <c r="BF6" s="28">
        <f t="shared" si="3"/>
        <v>0</v>
      </c>
      <c r="BH6" s="28">
        <f t="shared" si="4"/>
        <v>0</v>
      </c>
      <c r="BI6" s="274">
        <f t="shared" si="5"/>
        <v>0</v>
      </c>
      <c r="BJ6" s="274">
        <f t="shared" si="6"/>
        <v>0</v>
      </c>
      <c r="BL6" s="274">
        <f t="shared" si="7"/>
        <v>0</v>
      </c>
      <c r="BM6" s="28">
        <f t="shared" si="8"/>
        <v>0</v>
      </c>
      <c r="BN6" s="28">
        <f t="shared" si="9"/>
        <v>0</v>
      </c>
      <c r="BO6" s="274">
        <f t="shared" si="10"/>
        <v>0</v>
      </c>
      <c r="BP6" s="8">
        <f t="shared" si="11"/>
        <v>0</v>
      </c>
      <c r="BQ6" s="274">
        <f t="shared" si="12"/>
        <v>0</v>
      </c>
      <c r="BR6" s="274">
        <f t="shared" si="13"/>
        <v>0</v>
      </c>
      <c r="BS6" s="274">
        <f t="shared" si="14"/>
        <v>0</v>
      </c>
      <c r="BT6" s="274">
        <f t="shared" si="15"/>
        <v>0</v>
      </c>
      <c r="BU6" s="330">
        <f t="shared" si="16"/>
        <v>0</v>
      </c>
      <c r="BV6" s="274">
        <f t="shared" si="17"/>
        <v>0</v>
      </c>
      <c r="BW6" s="151">
        <f t="shared" si="18"/>
        <v>0</v>
      </c>
      <c r="BX6" s="274"/>
      <c r="BY6" s="274"/>
      <c r="BZ6" s="151">
        <f t="shared" si="19"/>
        <v>0</v>
      </c>
      <c r="CA6" s="151"/>
    </row>
    <row r="7" spans="2:79" hidden="1" x14ac:dyDescent="0.25">
      <c r="Y7" s="2"/>
      <c r="BA7" s="28">
        <f t="shared" si="20"/>
        <v>43221</v>
      </c>
      <c r="BB7" s="28">
        <f t="shared" si="21"/>
        <v>43252</v>
      </c>
      <c r="BC7" s="2">
        <f t="shared" si="0"/>
        <v>31</v>
      </c>
      <c r="BD7" s="2">
        <f t="shared" si="1"/>
        <v>0</v>
      </c>
      <c r="BE7" s="28">
        <f t="shared" si="2"/>
        <v>0</v>
      </c>
      <c r="BF7" s="28">
        <f t="shared" si="3"/>
        <v>0</v>
      </c>
      <c r="BH7" s="28">
        <f t="shared" si="4"/>
        <v>0</v>
      </c>
      <c r="BI7" s="274">
        <f t="shared" si="5"/>
        <v>0</v>
      </c>
      <c r="BJ7" s="274">
        <f t="shared" si="6"/>
        <v>0</v>
      </c>
      <c r="BL7" s="274">
        <f t="shared" si="7"/>
        <v>0</v>
      </c>
      <c r="BM7" s="28">
        <f t="shared" si="8"/>
        <v>0</v>
      </c>
      <c r="BN7" s="28">
        <f t="shared" si="9"/>
        <v>0</v>
      </c>
      <c r="BO7" s="274">
        <f t="shared" si="10"/>
        <v>0</v>
      </c>
      <c r="BP7" s="8">
        <f t="shared" si="11"/>
        <v>0</v>
      </c>
      <c r="BQ7" s="274">
        <f t="shared" si="12"/>
        <v>0</v>
      </c>
      <c r="BR7" s="274">
        <f t="shared" si="13"/>
        <v>0</v>
      </c>
      <c r="BS7" s="274">
        <f t="shared" si="14"/>
        <v>0</v>
      </c>
      <c r="BT7" s="274">
        <f t="shared" si="15"/>
        <v>0</v>
      </c>
      <c r="BU7" s="330">
        <f t="shared" si="16"/>
        <v>0</v>
      </c>
      <c r="BV7" s="274">
        <f t="shared" si="17"/>
        <v>0</v>
      </c>
      <c r="BW7" s="151">
        <f t="shared" si="18"/>
        <v>0</v>
      </c>
      <c r="BX7" s="274"/>
      <c r="BY7" s="274"/>
      <c r="BZ7" s="151">
        <f t="shared" si="19"/>
        <v>0</v>
      </c>
      <c r="CA7" s="151"/>
    </row>
    <row r="8" spans="2:79" hidden="1" x14ac:dyDescent="0.25">
      <c r="Y8" s="2"/>
      <c r="BA8" s="28">
        <f t="shared" si="20"/>
        <v>43252</v>
      </c>
      <c r="BB8" s="28">
        <f t="shared" si="21"/>
        <v>43282</v>
      </c>
      <c r="BC8" s="2">
        <f t="shared" si="0"/>
        <v>30</v>
      </c>
      <c r="BD8" s="2">
        <f t="shared" si="1"/>
        <v>0</v>
      </c>
      <c r="BE8" s="28">
        <f t="shared" si="2"/>
        <v>0</v>
      </c>
      <c r="BF8" s="28">
        <f t="shared" si="3"/>
        <v>0</v>
      </c>
      <c r="BH8" s="28">
        <f t="shared" si="4"/>
        <v>0</v>
      </c>
      <c r="BI8" s="274">
        <f t="shared" si="5"/>
        <v>0</v>
      </c>
      <c r="BJ8" s="274">
        <f t="shared" si="6"/>
        <v>0</v>
      </c>
      <c r="BL8" s="274">
        <f t="shared" si="7"/>
        <v>0</v>
      </c>
      <c r="BM8" s="28">
        <f t="shared" si="8"/>
        <v>0</v>
      </c>
      <c r="BN8" s="28">
        <f t="shared" si="9"/>
        <v>0</v>
      </c>
      <c r="BO8" s="274">
        <f t="shared" si="10"/>
        <v>0</v>
      </c>
      <c r="BP8" s="8">
        <f t="shared" si="11"/>
        <v>0</v>
      </c>
      <c r="BQ8" s="274">
        <f t="shared" si="12"/>
        <v>0</v>
      </c>
      <c r="BR8" s="274">
        <f t="shared" si="13"/>
        <v>0</v>
      </c>
      <c r="BS8" s="274">
        <f t="shared" si="14"/>
        <v>0</v>
      </c>
      <c r="BT8" s="274">
        <f t="shared" si="15"/>
        <v>0</v>
      </c>
      <c r="BU8" s="330">
        <f t="shared" si="16"/>
        <v>0</v>
      </c>
      <c r="BV8" s="274">
        <f t="shared" si="17"/>
        <v>0</v>
      </c>
      <c r="BW8" s="151">
        <f t="shared" si="18"/>
        <v>0</v>
      </c>
      <c r="BX8" s="274"/>
      <c r="BY8" s="274"/>
      <c r="BZ8" s="151">
        <f t="shared" si="19"/>
        <v>0</v>
      </c>
      <c r="CA8" s="151"/>
    </row>
    <row r="9" spans="2:79" hidden="1" x14ac:dyDescent="0.25">
      <c r="Y9" s="2"/>
      <c r="BA9" s="28">
        <f t="shared" si="20"/>
        <v>43282</v>
      </c>
      <c r="BB9" s="28">
        <f t="shared" si="21"/>
        <v>43313</v>
      </c>
      <c r="BC9" s="2">
        <f t="shared" si="0"/>
        <v>31</v>
      </c>
      <c r="BD9" s="2">
        <f t="shared" si="1"/>
        <v>0</v>
      </c>
      <c r="BE9" s="28">
        <f t="shared" si="2"/>
        <v>0</v>
      </c>
      <c r="BF9" s="28">
        <f t="shared" si="3"/>
        <v>0</v>
      </c>
      <c r="BH9" s="28">
        <f t="shared" si="4"/>
        <v>0</v>
      </c>
      <c r="BI9" s="274">
        <f t="shared" si="5"/>
        <v>0</v>
      </c>
      <c r="BJ9" s="274">
        <f t="shared" si="6"/>
        <v>0</v>
      </c>
      <c r="BL9" s="274">
        <f t="shared" si="7"/>
        <v>0</v>
      </c>
      <c r="BM9" s="28">
        <f t="shared" si="8"/>
        <v>0</v>
      </c>
      <c r="BN9" s="28">
        <f t="shared" si="9"/>
        <v>0</v>
      </c>
      <c r="BO9" s="274">
        <f t="shared" si="10"/>
        <v>0</v>
      </c>
      <c r="BP9" s="8">
        <f t="shared" si="11"/>
        <v>0</v>
      </c>
      <c r="BQ9" s="274">
        <f t="shared" si="12"/>
        <v>0</v>
      </c>
      <c r="BR9" s="274">
        <f t="shared" si="13"/>
        <v>0</v>
      </c>
      <c r="BS9" s="274">
        <f t="shared" si="14"/>
        <v>0</v>
      </c>
      <c r="BT9" s="274">
        <f t="shared" si="15"/>
        <v>0</v>
      </c>
      <c r="BU9" s="330">
        <f t="shared" si="16"/>
        <v>0</v>
      </c>
      <c r="BV9" s="274">
        <f t="shared" si="17"/>
        <v>0</v>
      </c>
      <c r="BW9" s="151">
        <f t="shared" si="18"/>
        <v>0</v>
      </c>
      <c r="BX9" s="274"/>
      <c r="BY9" s="274"/>
      <c r="BZ9" s="151">
        <f t="shared" si="19"/>
        <v>0</v>
      </c>
      <c r="CA9" s="151"/>
    </row>
    <row r="10" spans="2:79" hidden="1" x14ac:dyDescent="0.25">
      <c r="O10" s="10" t="s">
        <v>320</v>
      </c>
      <c r="P10" s="2"/>
      <c r="Q10" s="2"/>
      <c r="S10" s="152">
        <f>Erfassung!R27</f>
        <v>0</v>
      </c>
      <c r="T10" s="153"/>
      <c r="U10" s="2">
        <f ca="1">Rechnen!F9</f>
        <v>0</v>
      </c>
      <c r="Y10" s="2"/>
      <c r="AC10" s="158" t="s">
        <v>416</v>
      </c>
      <c r="AD10" s="159"/>
      <c r="AE10" s="159"/>
      <c r="AF10" s="159"/>
      <c r="AG10" s="159"/>
      <c r="AH10" s="159"/>
      <c r="AI10" s="159"/>
      <c r="AJ10" s="159"/>
      <c r="AK10" s="160"/>
      <c r="AL10" s="29"/>
      <c r="AM10" s="2" t="s">
        <v>417</v>
      </c>
      <c r="BA10" s="28">
        <f t="shared" si="20"/>
        <v>43313</v>
      </c>
      <c r="BB10" s="28">
        <f t="shared" si="21"/>
        <v>43344</v>
      </c>
      <c r="BC10" s="2">
        <f t="shared" si="0"/>
        <v>31</v>
      </c>
      <c r="BD10" s="2">
        <f t="shared" si="1"/>
        <v>0</v>
      </c>
      <c r="BE10" s="28">
        <f t="shared" si="2"/>
        <v>0</v>
      </c>
      <c r="BF10" s="28">
        <f t="shared" si="3"/>
        <v>0</v>
      </c>
      <c r="BH10" s="28">
        <f t="shared" si="4"/>
        <v>0</v>
      </c>
      <c r="BI10" s="274">
        <f t="shared" si="5"/>
        <v>0</v>
      </c>
      <c r="BJ10" s="274">
        <f t="shared" si="6"/>
        <v>0</v>
      </c>
      <c r="BL10" s="274">
        <f t="shared" si="7"/>
        <v>0</v>
      </c>
      <c r="BM10" s="28">
        <f t="shared" si="8"/>
        <v>0</v>
      </c>
      <c r="BN10" s="28">
        <f t="shared" si="9"/>
        <v>0</v>
      </c>
      <c r="BO10" s="274">
        <f t="shared" si="10"/>
        <v>0</v>
      </c>
      <c r="BP10" s="8">
        <f t="shared" si="11"/>
        <v>0</v>
      </c>
      <c r="BQ10" s="274">
        <f t="shared" si="12"/>
        <v>0</v>
      </c>
      <c r="BR10" s="274">
        <f t="shared" si="13"/>
        <v>0</v>
      </c>
      <c r="BS10" s="274">
        <f t="shared" si="14"/>
        <v>0</v>
      </c>
      <c r="BT10" s="274">
        <f t="shared" si="15"/>
        <v>0</v>
      </c>
      <c r="BU10" s="330">
        <f t="shared" si="16"/>
        <v>0</v>
      </c>
      <c r="BV10" s="274">
        <f t="shared" si="17"/>
        <v>0</v>
      </c>
      <c r="BW10" s="151">
        <f t="shared" si="18"/>
        <v>0</v>
      </c>
      <c r="BX10" s="274"/>
      <c r="BY10" s="274"/>
      <c r="BZ10" s="151">
        <f t="shared" si="19"/>
        <v>0</v>
      </c>
      <c r="CA10" s="151"/>
    </row>
    <row r="11" spans="2:79" hidden="1" x14ac:dyDescent="0.25">
      <c r="O11" s="2" t="s">
        <v>405</v>
      </c>
      <c r="P11" s="2">
        <f>BD15</f>
        <v>31</v>
      </c>
      <c r="Q11" s="2" t="s">
        <v>407</v>
      </c>
      <c r="R11" s="28">
        <f>Erfassung!P4</f>
        <v>0</v>
      </c>
      <c r="Y11" s="2"/>
      <c r="AK11" s="88"/>
      <c r="AL11" s="29"/>
      <c r="AM11" s="6" t="s">
        <v>418</v>
      </c>
      <c r="AN11" s="7" t="s">
        <v>419</v>
      </c>
      <c r="AO11" s="7" t="s">
        <v>424</v>
      </c>
      <c r="AP11" s="8" t="s">
        <v>420</v>
      </c>
      <c r="AQ11" s="6" t="s">
        <v>421</v>
      </c>
      <c r="AR11" s="7" t="s">
        <v>422</v>
      </c>
      <c r="AS11" s="7" t="s">
        <v>425</v>
      </c>
      <c r="AT11" s="8" t="s">
        <v>423</v>
      </c>
      <c r="AU11" s="2" t="s">
        <v>278</v>
      </c>
      <c r="AV11" s="2" t="s">
        <v>131</v>
      </c>
      <c r="AW11" s="2"/>
      <c r="AX11" s="2"/>
      <c r="AY11" s="2" t="s">
        <v>613</v>
      </c>
      <c r="AZ11" s="2" t="s">
        <v>613</v>
      </c>
      <c r="BA11" s="28">
        <f t="shared" si="20"/>
        <v>43344</v>
      </c>
      <c r="BB11" s="28">
        <f t="shared" si="21"/>
        <v>43374</v>
      </c>
      <c r="BC11" s="2">
        <f t="shared" si="0"/>
        <v>30</v>
      </c>
      <c r="BD11" s="2">
        <f t="shared" si="1"/>
        <v>0</v>
      </c>
      <c r="BE11" s="28">
        <f t="shared" si="2"/>
        <v>0</v>
      </c>
      <c r="BF11" s="28">
        <f t="shared" si="3"/>
        <v>0</v>
      </c>
      <c r="BH11" s="28">
        <f t="shared" si="4"/>
        <v>0</v>
      </c>
      <c r="BI11" s="274">
        <f t="shared" si="5"/>
        <v>0</v>
      </c>
      <c r="BJ11" s="274">
        <f t="shared" si="6"/>
        <v>0</v>
      </c>
      <c r="BL11" s="274">
        <f t="shared" si="7"/>
        <v>0</v>
      </c>
      <c r="BM11" s="28">
        <f t="shared" si="8"/>
        <v>0</v>
      </c>
      <c r="BN11" s="28">
        <f t="shared" si="9"/>
        <v>0</v>
      </c>
      <c r="BO11" s="274">
        <f t="shared" si="10"/>
        <v>0</v>
      </c>
      <c r="BP11" s="8">
        <f t="shared" si="11"/>
        <v>0</v>
      </c>
      <c r="BQ11" s="274">
        <f t="shared" si="12"/>
        <v>0</v>
      </c>
      <c r="BR11" s="274">
        <f t="shared" si="13"/>
        <v>0</v>
      </c>
      <c r="BS11" s="274">
        <f t="shared" si="14"/>
        <v>0</v>
      </c>
      <c r="BT11" s="274">
        <f t="shared" si="15"/>
        <v>0</v>
      </c>
      <c r="BU11" s="330">
        <f t="shared" si="16"/>
        <v>0</v>
      </c>
      <c r="BV11" s="274">
        <f t="shared" si="17"/>
        <v>0</v>
      </c>
      <c r="BW11" s="151">
        <f t="shared" si="18"/>
        <v>0</v>
      </c>
      <c r="BX11" s="274"/>
      <c r="BY11" s="274"/>
      <c r="BZ11" s="151">
        <f t="shared" si="19"/>
        <v>0</v>
      </c>
      <c r="CA11" s="151"/>
    </row>
    <row r="12" spans="2:79" hidden="1" x14ac:dyDescent="0.25">
      <c r="B12" s="2" t="s">
        <v>15</v>
      </c>
      <c r="C12" s="2" t="s">
        <v>369</v>
      </c>
      <c r="D12" s="2" t="s">
        <v>16</v>
      </c>
      <c r="E12" s="2" t="s">
        <v>23</v>
      </c>
      <c r="F12" s="2" t="s">
        <v>17</v>
      </c>
      <c r="G12" s="2"/>
      <c r="H12" s="2"/>
      <c r="I12" s="2"/>
      <c r="J12" s="2"/>
      <c r="O12" s="2" t="s">
        <v>406</v>
      </c>
      <c r="P12" s="2">
        <f>COUNTIF(N15:N26,"&lt;&gt;0")</f>
        <v>0</v>
      </c>
      <c r="Y12" s="2"/>
      <c r="AC12" s="6" t="s">
        <v>414</v>
      </c>
      <c r="AD12" s="7" t="s">
        <v>413</v>
      </c>
      <c r="AE12" s="8" t="s">
        <v>66</v>
      </c>
      <c r="AF12" s="6" t="s">
        <v>18</v>
      </c>
      <c r="AG12" s="7" t="s">
        <v>19</v>
      </c>
      <c r="AH12" s="7" t="s">
        <v>415</v>
      </c>
      <c r="AI12" s="8" t="s">
        <v>104</v>
      </c>
      <c r="AJ12" s="2">
        <v>5730</v>
      </c>
      <c r="AK12" s="11">
        <v>5722</v>
      </c>
      <c r="AL12" s="10"/>
      <c r="AM12" s="161">
        <f>Rechnen!O26</f>
        <v>0</v>
      </c>
      <c r="AN12" s="75">
        <f>AM12</f>
        <v>0</v>
      </c>
      <c r="AO12" s="75">
        <f>AN12</f>
        <v>0</v>
      </c>
      <c r="AP12" s="33">
        <f>AN12</f>
        <v>0</v>
      </c>
      <c r="AQ12" s="161">
        <f>Rechnen!R22</f>
        <v>0</v>
      </c>
      <c r="AR12" s="75">
        <f>AQ12</f>
        <v>0</v>
      </c>
      <c r="AS12" s="75">
        <f>AR12</f>
        <v>0</v>
      </c>
      <c r="AT12" s="33">
        <f>AR12</f>
        <v>0</v>
      </c>
      <c r="AU12" s="27">
        <f>Rechnen!U22</f>
        <v>0</v>
      </c>
      <c r="AV12" s="27">
        <f>Rechnen!AA26</f>
        <v>0</v>
      </c>
      <c r="AW12" s="27"/>
      <c r="AX12" s="332">
        <f>AM12+AQ12+AU12+AV12</f>
        <v>0</v>
      </c>
      <c r="AY12" s="25">
        <v>5722</v>
      </c>
      <c r="AZ12" s="25">
        <v>5730</v>
      </c>
      <c r="BA12" s="28">
        <f t="shared" si="20"/>
        <v>43374</v>
      </c>
      <c r="BB12" s="28">
        <f t="shared" si="21"/>
        <v>43405</v>
      </c>
      <c r="BC12" s="2">
        <f t="shared" si="0"/>
        <v>31</v>
      </c>
      <c r="BD12" s="2">
        <f t="shared" si="1"/>
        <v>0</v>
      </c>
      <c r="BE12" s="28">
        <f t="shared" si="2"/>
        <v>0</v>
      </c>
      <c r="BF12" s="28">
        <f t="shared" si="3"/>
        <v>0</v>
      </c>
      <c r="BH12" s="28">
        <f t="shared" si="4"/>
        <v>0</v>
      </c>
      <c r="BI12" s="274">
        <f t="shared" si="5"/>
        <v>0</v>
      </c>
      <c r="BJ12" s="274">
        <f t="shared" si="6"/>
        <v>0</v>
      </c>
      <c r="BL12" s="274">
        <f t="shared" si="7"/>
        <v>0</v>
      </c>
      <c r="BM12" s="28">
        <f t="shared" si="8"/>
        <v>0</v>
      </c>
      <c r="BN12" s="28">
        <f t="shared" si="9"/>
        <v>0</v>
      </c>
      <c r="BO12" s="274">
        <f t="shared" si="10"/>
        <v>0</v>
      </c>
      <c r="BP12" s="8">
        <f t="shared" si="11"/>
        <v>0</v>
      </c>
      <c r="BQ12" s="274">
        <f t="shared" si="12"/>
        <v>0</v>
      </c>
      <c r="BR12" s="274">
        <f t="shared" si="13"/>
        <v>0</v>
      </c>
      <c r="BS12" s="274">
        <f t="shared" si="14"/>
        <v>0</v>
      </c>
      <c r="BT12" s="274">
        <f t="shared" si="15"/>
        <v>0</v>
      </c>
      <c r="BU12" s="330">
        <f t="shared" si="16"/>
        <v>0</v>
      </c>
      <c r="BV12" s="274">
        <f t="shared" si="17"/>
        <v>0</v>
      </c>
      <c r="BW12" s="151">
        <f t="shared" si="18"/>
        <v>0</v>
      </c>
      <c r="BX12" s="274"/>
      <c r="BY12" s="274"/>
      <c r="BZ12" s="151">
        <f t="shared" si="19"/>
        <v>0</v>
      </c>
      <c r="CA12" s="151"/>
    </row>
    <row r="13" spans="2:79" hidden="1" x14ac:dyDescent="0.25">
      <c r="B13" s="2"/>
      <c r="C13" s="2"/>
      <c r="D13" s="2"/>
      <c r="E13" s="2"/>
      <c r="F13" s="2" t="s">
        <v>18</v>
      </c>
      <c r="G13" s="2" t="s">
        <v>19</v>
      </c>
      <c r="H13" s="2" t="s">
        <v>20</v>
      </c>
      <c r="I13" s="2" t="s">
        <v>21</v>
      </c>
      <c r="J13" s="2" t="s">
        <v>104</v>
      </c>
      <c r="K13" s="2" t="s">
        <v>279</v>
      </c>
      <c r="L13" s="2" t="s">
        <v>252</v>
      </c>
      <c r="M13" s="2" t="s">
        <v>429</v>
      </c>
      <c r="O13" s="2" t="s">
        <v>107</v>
      </c>
      <c r="P13" s="2" t="s">
        <v>404</v>
      </c>
      <c r="Q13" s="23" t="s">
        <v>402</v>
      </c>
      <c r="R13" s="2" t="s">
        <v>403</v>
      </c>
      <c r="Y13" s="2"/>
      <c r="AC13" s="155">
        <v>5730</v>
      </c>
      <c r="AD13" s="156">
        <v>5722</v>
      </c>
      <c r="AE13" s="157">
        <v>5722</v>
      </c>
      <c r="AF13" s="155">
        <v>5730</v>
      </c>
      <c r="AG13" s="156">
        <v>5722</v>
      </c>
      <c r="AH13" s="156">
        <v>5722</v>
      </c>
      <c r="AI13" s="157">
        <v>5722</v>
      </c>
      <c r="AJ13" s="2"/>
      <c r="AK13" s="11"/>
      <c r="AL13" s="10"/>
      <c r="AM13" s="162">
        <f>Rechnen!M22</f>
        <v>0</v>
      </c>
      <c r="AN13" s="78">
        <f>AM13</f>
        <v>0</v>
      </c>
      <c r="AO13" s="78">
        <f>AN13</f>
        <v>0</v>
      </c>
      <c r="AP13" s="163">
        <f>AN13</f>
        <v>0</v>
      </c>
      <c r="AQ13" s="162">
        <f>Rechnen!Q22</f>
        <v>0</v>
      </c>
      <c r="AR13" s="78">
        <f>AQ13</f>
        <v>0</v>
      </c>
      <c r="AS13" s="78">
        <f>AR13</f>
        <v>0</v>
      </c>
      <c r="AT13" s="163">
        <f>AR13</f>
        <v>0</v>
      </c>
      <c r="AU13" s="25">
        <f>Rechnen!T22</f>
        <v>0</v>
      </c>
      <c r="AV13" s="25">
        <f>Rechnen!Y22</f>
        <v>0</v>
      </c>
      <c r="AW13" s="25"/>
      <c r="AX13" s="25"/>
      <c r="AY13" s="25"/>
      <c r="AZ13" s="25"/>
      <c r="BA13" s="28">
        <f t="shared" si="20"/>
        <v>43405</v>
      </c>
      <c r="BB13" s="28">
        <f t="shared" si="21"/>
        <v>43435</v>
      </c>
      <c r="BC13" s="2">
        <f t="shared" si="0"/>
        <v>30</v>
      </c>
      <c r="BD13" s="2">
        <f t="shared" si="1"/>
        <v>0</v>
      </c>
      <c r="BE13" s="28">
        <f t="shared" si="2"/>
        <v>0</v>
      </c>
      <c r="BF13" s="28">
        <f t="shared" si="3"/>
        <v>0</v>
      </c>
      <c r="BH13" s="28">
        <f t="shared" si="4"/>
        <v>0</v>
      </c>
      <c r="BI13" s="274">
        <f t="shared" si="5"/>
        <v>0</v>
      </c>
      <c r="BJ13" s="274">
        <f t="shared" si="6"/>
        <v>0</v>
      </c>
      <c r="BL13" s="274">
        <f t="shared" si="7"/>
        <v>0</v>
      </c>
      <c r="BM13" s="28">
        <f t="shared" si="8"/>
        <v>0</v>
      </c>
      <c r="BN13" s="28">
        <f t="shared" si="9"/>
        <v>0</v>
      </c>
      <c r="BO13" s="274">
        <f t="shared" si="10"/>
        <v>0</v>
      </c>
      <c r="BP13" s="8">
        <f t="shared" si="11"/>
        <v>0</v>
      </c>
      <c r="BQ13" s="274">
        <f t="shared" si="12"/>
        <v>0</v>
      </c>
      <c r="BR13" s="274">
        <f t="shared" si="13"/>
        <v>0</v>
      </c>
      <c r="BS13" s="274">
        <f t="shared" si="14"/>
        <v>0</v>
      </c>
      <c r="BT13" s="274">
        <f t="shared" si="15"/>
        <v>0</v>
      </c>
      <c r="BU13" s="330">
        <f t="shared" si="16"/>
        <v>0</v>
      </c>
      <c r="BV13" s="274">
        <f t="shared" si="17"/>
        <v>0</v>
      </c>
      <c r="BW13" s="151">
        <f t="shared" si="18"/>
        <v>0</v>
      </c>
      <c r="BX13" s="274"/>
      <c r="BY13" s="274"/>
      <c r="BZ13" s="151">
        <f t="shared" si="19"/>
        <v>0</v>
      </c>
      <c r="CA13" s="151"/>
    </row>
    <row r="14" spans="2:79" hidden="1" x14ac:dyDescent="0.25">
      <c r="B14" s="2"/>
      <c r="C14" s="2"/>
      <c r="D14" s="2"/>
      <c r="E14" s="2"/>
      <c r="F14" s="2"/>
      <c r="G14" s="2"/>
      <c r="H14" s="2"/>
      <c r="I14" s="2"/>
      <c r="J14" s="2"/>
      <c r="K14" s="27">
        <f ca="1">SUM(K15:K26)</f>
        <v>0</v>
      </c>
      <c r="L14" s="27">
        <f>SUM(L15:L26)</f>
        <v>0</v>
      </c>
      <c r="M14" s="27">
        <f>SUM(M15:M26)</f>
        <v>0</v>
      </c>
      <c r="O14" s="151">
        <f ca="1">Rechnen!N80</f>
        <v>0</v>
      </c>
      <c r="P14" s="151">
        <f ca="1">Rechnen!O80</f>
        <v>0</v>
      </c>
      <c r="Q14" s="27">
        <f ca="1">Unterstützung!I44</f>
        <v>0</v>
      </c>
      <c r="R14" s="27">
        <f ca="1">Unterstützung!I32</f>
        <v>0</v>
      </c>
      <c r="T14" s="2" t="s">
        <v>409</v>
      </c>
      <c r="U14" s="2" t="s">
        <v>65</v>
      </c>
      <c r="V14" s="2" t="s">
        <v>408</v>
      </c>
      <c r="W14" s="2" t="s">
        <v>66</v>
      </c>
      <c r="X14" s="2" t="s">
        <v>410</v>
      </c>
      <c r="Y14" s="2" t="s">
        <v>411</v>
      </c>
      <c r="Z14" s="2" t="s">
        <v>65</v>
      </c>
      <c r="AA14" s="23" t="s">
        <v>412</v>
      </c>
      <c r="AC14" s="2"/>
      <c r="AD14" s="2"/>
      <c r="AE14" s="2"/>
      <c r="AF14" s="2"/>
      <c r="AG14" s="2"/>
      <c r="AH14" s="2"/>
      <c r="AI14" s="2"/>
      <c r="AJ14" s="2"/>
      <c r="AK14" s="11"/>
      <c r="AL14" s="10"/>
      <c r="AM14" s="34">
        <v>5730</v>
      </c>
      <c r="AN14" s="59">
        <v>5730</v>
      </c>
      <c r="AO14" s="59">
        <v>5730</v>
      </c>
      <c r="AP14" s="164">
        <v>5722</v>
      </c>
      <c r="AQ14" s="34">
        <v>5730</v>
      </c>
      <c r="AR14" s="59">
        <v>5730</v>
      </c>
      <c r="AS14" s="59">
        <v>5730</v>
      </c>
      <c r="AT14" s="164">
        <v>5722</v>
      </c>
      <c r="AU14" s="154">
        <v>5722</v>
      </c>
      <c r="AV14" s="154">
        <v>5722</v>
      </c>
      <c r="AW14" s="154"/>
      <c r="AX14" s="154"/>
      <c r="AY14" s="154"/>
      <c r="AZ14" s="154"/>
      <c r="BA14" s="28">
        <f>BB13</f>
        <v>43435</v>
      </c>
      <c r="BB14" s="28">
        <f>EDATE(BA14,1)</f>
        <v>43466</v>
      </c>
      <c r="BC14" s="2">
        <f t="shared" si="0"/>
        <v>31</v>
      </c>
      <c r="BD14" s="2">
        <f t="shared" si="1"/>
        <v>0</v>
      </c>
      <c r="BE14" s="28">
        <f t="shared" si="2"/>
        <v>0</v>
      </c>
      <c r="BF14" s="28">
        <f t="shared" si="3"/>
        <v>0</v>
      </c>
      <c r="BH14" s="28">
        <f t="shared" si="4"/>
        <v>0</v>
      </c>
      <c r="BI14" s="274">
        <f t="shared" si="5"/>
        <v>0</v>
      </c>
      <c r="BJ14" s="274">
        <f t="shared" si="6"/>
        <v>0</v>
      </c>
      <c r="BL14" s="274">
        <f t="shared" si="7"/>
        <v>0</v>
      </c>
      <c r="BM14" s="28">
        <f t="shared" si="8"/>
        <v>0</v>
      </c>
      <c r="BN14" s="28">
        <f t="shared" si="9"/>
        <v>0</v>
      </c>
      <c r="BO14" s="274">
        <f t="shared" si="10"/>
        <v>0</v>
      </c>
      <c r="BP14" s="8">
        <f t="shared" si="11"/>
        <v>0</v>
      </c>
      <c r="BQ14" s="274">
        <f t="shared" si="12"/>
        <v>0</v>
      </c>
      <c r="BR14" s="274">
        <f t="shared" si="13"/>
        <v>0</v>
      </c>
      <c r="BS14" s="274">
        <f t="shared" si="14"/>
        <v>0</v>
      </c>
      <c r="BT14" s="274">
        <f t="shared" si="15"/>
        <v>0</v>
      </c>
      <c r="BU14" s="330">
        <f t="shared" si="16"/>
        <v>0</v>
      </c>
      <c r="BV14" s="274">
        <f t="shared" si="17"/>
        <v>0</v>
      </c>
      <c r="BW14" s="151">
        <f t="shared" si="18"/>
        <v>0</v>
      </c>
      <c r="BX14" s="274"/>
      <c r="BY14" s="274"/>
      <c r="BZ14" s="151">
        <f t="shared" si="19"/>
        <v>0</v>
      </c>
      <c r="CA14" s="151"/>
    </row>
    <row r="15" spans="2:79" hidden="1" x14ac:dyDescent="0.25">
      <c r="B15" s="2">
        <f>Erfassung!B13</f>
        <v>0</v>
      </c>
      <c r="C15" s="2">
        <f>Erfassung!C13</f>
        <v>0</v>
      </c>
      <c r="D15" s="28">
        <f>Erfassung!D13</f>
        <v>0</v>
      </c>
      <c r="E15" s="28">
        <f>Erfassung!E13</f>
        <v>0</v>
      </c>
      <c r="F15" s="2">
        <f>Erfassung!F13</f>
        <v>0</v>
      </c>
      <c r="G15" s="2">
        <f>Erfassung!G13</f>
        <v>0</v>
      </c>
      <c r="H15" s="2">
        <f>Erfassung!H13</f>
        <v>0</v>
      </c>
      <c r="I15" s="2">
        <f>Erfassung!I13</f>
        <v>0</v>
      </c>
      <c r="J15" s="2">
        <f>Erfassung!J13</f>
        <v>0</v>
      </c>
      <c r="K15" s="27">
        <f ca="1">'Übersicht KVG'!D20</f>
        <v>0</v>
      </c>
      <c r="L15" s="27">
        <f>Erfassung!P13</f>
        <v>0</v>
      </c>
      <c r="M15" s="27">
        <f>Einnahmen!AG15</f>
        <v>0</v>
      </c>
      <c r="N15" s="2">
        <f>Erfassung!Y13-SUM(Erfassung!AN13:AQ13)</f>
        <v>0</v>
      </c>
      <c r="O15" s="27">
        <f t="shared" ref="O15:O26" si="22">IF(D15&gt;0,ROUND($O$14/$P$12*20,0)/20,0)</f>
        <v>0</v>
      </c>
      <c r="P15" s="27">
        <f t="shared" ref="P15:P26" si="23">IF(D15&gt;0,ROUND($P$14/$P$12*20,0)/20,0)</f>
        <v>0</v>
      </c>
      <c r="Q15" s="27">
        <f t="shared" ref="Q15:Q26" si="24">IF(D15&gt;0,ROUND($Q$14/$P$12*20,0)/20,0)</f>
        <v>0</v>
      </c>
      <c r="R15" s="27">
        <f t="shared" ref="R15:R26" si="25">IF(D15&gt;0,ROUND($R$14/$P$12*20,0)/20,0)</f>
        <v>0</v>
      </c>
      <c r="S15" s="27">
        <f ca="1">K15-L15+SUM(O15:R15)+M15</f>
        <v>0</v>
      </c>
      <c r="T15" s="28">
        <f>IF(D15&gt;0,EDATE(E15,84),0)</f>
        <v>0</v>
      </c>
      <c r="U15" s="2">
        <f t="shared" ref="U15:U26" si="26">IF(AND(D15&gt;0,F15=0,G15=0,H15&lt;&gt;0,I15=0,J15=0,T15&gt;$R$11),1,0)</f>
        <v>0</v>
      </c>
      <c r="V15" s="2">
        <f t="shared" ref="V15:V26" si="27">IF(AND(U15=1,YEAR(T15)=YEAR($R$11),MONTH(T15)=MONTH($R$11)),1,0)</f>
        <v>0</v>
      </c>
      <c r="W15" s="2">
        <f>IF(AND(D15&gt;0,F15=0,G15=0,H15&lt;&gt;0,I15=0,J15=0,T15&lt;=$R$11),1,0)</f>
        <v>0</v>
      </c>
      <c r="X15" s="28">
        <f t="shared" ref="X15:X26" si="28">$BE$15</f>
        <v>43101</v>
      </c>
      <c r="Y15" s="28">
        <f t="shared" ref="Y15:Y26" si="29">$BF$15</f>
        <v>43132</v>
      </c>
      <c r="Z15" s="2">
        <f>IF(V15=1,T15-X15,0)</f>
        <v>0</v>
      </c>
      <c r="AA15" s="2">
        <f>IF(V15=1,Y15-T15,0)</f>
        <v>0</v>
      </c>
      <c r="AB15" s="2">
        <f>SUM(Z15:AA15)</f>
        <v>0</v>
      </c>
      <c r="AC15" s="27">
        <f>IF(AND(W15=0,SUM(U15:V15)&gt;0,AB15=0),S15,IF(AND(W15=0,SUM(U15:V15)&gt;0,AB15&gt;0),ROUND(S15/AB15*Z15*20,0)/20,0))</f>
        <v>0</v>
      </c>
      <c r="AD15" s="27">
        <f>IF(AB15=0,0,IF(AB15&gt;0,S15-AC15,0))</f>
        <v>0</v>
      </c>
      <c r="AE15" s="27">
        <f>IF(AND(U15=0,V15=0,W15=1),S15,0)</f>
        <v>0</v>
      </c>
      <c r="AF15" s="27">
        <f>IF(AND(D15&gt;0,F15&lt;&gt;0,G15=0,H15=0,I15=0,J15=0),S15,0)</f>
        <v>0</v>
      </c>
      <c r="AG15" s="27">
        <f>IF(AND(D15&gt;0,F15=0,G15&lt;&gt;0,H15=0,I15=0,J15=0),S15,0)</f>
        <v>0</v>
      </c>
      <c r="AH15" s="27">
        <f>IF(AND(D15&gt;0,F15=0,G15=0,H15=0,I15&lt;&gt;0,J15=0),S15,0)</f>
        <v>0</v>
      </c>
      <c r="AI15" s="27">
        <f>IF(AND(D15&gt;0,F15=0,G15=0,H15=0,I15=0,J15&lt;&gt;0),S15,0)</f>
        <v>0</v>
      </c>
      <c r="AJ15" s="83">
        <f>AC15+AF15</f>
        <v>0</v>
      </c>
      <c r="AK15" s="83">
        <f>AD15+AE15+AG15+AH15+AI15</f>
        <v>0</v>
      </c>
      <c r="AL15" s="166">
        <f>IF(N15&gt;0,1,0)</f>
        <v>0</v>
      </c>
      <c r="AM15" s="167">
        <f>IF(AND(AM13&gt;0,D15&gt;0,AL15=1,F15&lt;&gt;0,G15=0,H15=0,I15=0,J15=0),ROUND($AM$12/$AM$13*20,0)/20,0)</f>
        <v>0</v>
      </c>
      <c r="AN15" s="168">
        <f>IF(AND(D15&gt;0,U15=1,V15=0,W15=0,AL15=1,$AN$13&gt;0),ROUND($AN$12/$AN$13*20,0)/20,0)</f>
        <v>0</v>
      </c>
      <c r="AO15" s="168">
        <f>IF(AND(D15&gt;0,U15=1,V15=1,W15=0,AL15=1,$AN$13&gt;0),ROUND($AO$12/$AO$13*Z15/AB15*20,0)/20,0)</f>
        <v>0</v>
      </c>
      <c r="AP15" s="169">
        <f>IF(AND(D15&gt;0,U15=1,V15=1,W15=0,AL15=1,$AN$13&gt;0),ROUND($AP$12/$AP$13*AA15/AB15*20,0)/20,IF(AND(D15&gt;0,U15=0,V15=0,W15=1,AL15=1,$AN$13&gt;0),ROUND($AP$12/$AP$13*20,0)/20,0))</f>
        <v>0</v>
      </c>
      <c r="AQ15" s="27">
        <f>IF(AND(F15&lt;&gt;0,G15=0,H15=0,I15=0,J15=0,AL15=1,$AQ$13&gt;0),ROUND($AQ$12/$AQ$13*20,0)/20,0)</f>
        <v>0</v>
      </c>
      <c r="AR15" s="27">
        <f>IF(AND(D15&gt;0,U15=1,V15=0,W15=0,AL15=1,$AR$13&gt;0),ROUND($AR$12/$AR$13*20,0)/20,0)</f>
        <v>0</v>
      </c>
      <c r="AS15" s="27">
        <f>IF(AND(D15&gt;0,U15=1,V15=1,W15=0,AL15=1,$AS$13&gt;0),ROUND($AS$12/$AS$13*Z15/AB15*20,0)/20,0)</f>
        <v>0</v>
      </c>
      <c r="AT15" s="169">
        <f>IF(AND(D15&gt;0,U15=0,V15=0,W15=1,AL15=1,$AT$13&gt;0),ROUND($AT$12/$AT$13*20,0)/20,IF(AND(D15&gt;0,U15=1,V15=1,W15=0,AL15=1,$AT$13&gt;0),ROUND($AT$12/$AT$13*AA15/AB15*20,0)/20,0))</f>
        <v>0</v>
      </c>
      <c r="AU15" s="27">
        <f>IF(AND(D15&gt;0,F15=0,G15&lt;&gt;0,H15=0,I15=0,J15=0,AL15=1,$AU$13&gt;0),ROUND($AU$12/$AU$13*20,0)/20,IF(AND(D15&gt;0,F15=0,G15=0,H15=0,I15&lt;&gt;0,J15=0,AL15=1,$AU$13&gt;0),ROUND($AU$12/$AU$13*20,0)/20,0))</f>
        <v>0</v>
      </c>
      <c r="AV15" s="27">
        <f>IF(AND(D15&gt;0,F15=0,G15=0,H15=0,I15=0,J15&lt;&gt;0,AL15=1,$AV$13&gt;0),ROUND($AV$12/$AV$13*20,0)/20,0)</f>
        <v>0</v>
      </c>
      <c r="AW15" s="27"/>
      <c r="AX15" s="27"/>
      <c r="AY15" s="27">
        <f>IF(OR(AP15&gt;0,AT15&gt;0,AU15&gt;0,AV15&gt;0),BE61,0)</f>
        <v>0</v>
      </c>
      <c r="AZ15" s="27">
        <f>IF(OR(AM15&gt;0,AN15&gt;0,AO15&gt;0,AQ15&gt;0,AR15&gt;0,AS15&gt;0),BE61,0)</f>
        <v>0</v>
      </c>
      <c r="BC15">
        <v>31</v>
      </c>
      <c r="BD15" s="20">
        <f>SUM(BD3:BD14)</f>
        <v>31</v>
      </c>
      <c r="BE15" s="17">
        <f>SUM(BE3:BE14)</f>
        <v>43101</v>
      </c>
      <c r="BF15" s="17">
        <f>SUM(BF3:BF14)</f>
        <v>43132</v>
      </c>
      <c r="BH15" s="28">
        <f>SUM(BH3:BH14)</f>
        <v>43131</v>
      </c>
      <c r="BI15" s="274"/>
      <c r="BJ15" s="274"/>
      <c r="BZ15" s="331">
        <f>SUM(BZ3:BZ14)</f>
        <v>0</v>
      </c>
    </row>
    <row r="16" spans="2:79" hidden="1" x14ac:dyDescent="0.25">
      <c r="B16" s="2">
        <f>Erfassung!B14</f>
        <v>0</v>
      </c>
      <c r="C16" s="2">
        <f>Erfassung!C14</f>
        <v>0</v>
      </c>
      <c r="D16" s="28">
        <f>Erfassung!D14</f>
        <v>0</v>
      </c>
      <c r="E16" s="28">
        <f>Erfassung!E14</f>
        <v>0</v>
      </c>
      <c r="F16" s="2">
        <f>Erfassung!F14</f>
        <v>0</v>
      </c>
      <c r="G16" s="2">
        <f>Erfassung!G14</f>
        <v>0</v>
      </c>
      <c r="H16" s="2">
        <f>Erfassung!H14</f>
        <v>0</v>
      </c>
      <c r="I16" s="2">
        <f>Erfassung!I14</f>
        <v>0</v>
      </c>
      <c r="J16" s="2">
        <f>Erfassung!J14</f>
        <v>0</v>
      </c>
      <c r="K16" s="275">
        <f ca="1">'Übersicht KVG'!D21</f>
        <v>0</v>
      </c>
      <c r="L16" s="27">
        <f>Erfassung!P14</f>
        <v>0</v>
      </c>
      <c r="M16" s="27">
        <f>Einnahmen!AG16</f>
        <v>0</v>
      </c>
      <c r="N16" s="274">
        <f>Erfassung!Y14-SUM(Erfassung!AN14:AQ14)</f>
        <v>0</v>
      </c>
      <c r="O16" s="27">
        <f t="shared" si="22"/>
        <v>0</v>
      </c>
      <c r="P16" s="27">
        <f t="shared" si="23"/>
        <v>0</v>
      </c>
      <c r="Q16" s="27">
        <f t="shared" si="24"/>
        <v>0</v>
      </c>
      <c r="R16" s="27">
        <f t="shared" si="25"/>
        <v>0</v>
      </c>
      <c r="S16" s="27">
        <f t="shared" ref="S16:S26" ca="1" si="30">K16-L16+SUM(O16:R16)+M16</f>
        <v>0</v>
      </c>
      <c r="T16" s="28">
        <f t="shared" ref="T16:T26" si="31">IF(D16&gt;0,EDATE(E16,84),0)</f>
        <v>0</v>
      </c>
      <c r="U16" s="2">
        <f t="shared" si="26"/>
        <v>0</v>
      </c>
      <c r="V16" s="2">
        <f t="shared" si="27"/>
        <v>0</v>
      </c>
      <c r="W16" s="2">
        <f t="shared" ref="W16:W26" si="32">IF(AND(D16&gt;0,F16=0,G16=0,H16&lt;&gt;0,I16=0,J16=0,T16&lt;=$R$11),1,0)</f>
        <v>0</v>
      </c>
      <c r="X16" s="28">
        <f t="shared" si="28"/>
        <v>43101</v>
      </c>
      <c r="Y16" s="28">
        <f t="shared" si="29"/>
        <v>43132</v>
      </c>
      <c r="Z16" s="2">
        <f t="shared" ref="Z16:Z26" si="33">IF(V16=1,T16-X16,0)</f>
        <v>0</v>
      </c>
      <c r="AA16" s="2">
        <f t="shared" ref="AA16:AA26" si="34">IF(V16=1,Y16-T16,0)</f>
        <v>0</v>
      </c>
      <c r="AB16" s="2">
        <f t="shared" ref="AB16:AB26" si="35">SUM(Z16:AA16)</f>
        <v>0</v>
      </c>
      <c r="AC16" s="27">
        <f t="shared" ref="AC16:AC26" si="36">IF(AND(W16=0,SUM(U16:V16)&gt;0,AB16=0),S16,IF(AND(W16=0,SUM(U16:V16)&gt;0,AB16&gt;0),ROUND(S16/AB16*Z16*20,0)/20,0))</f>
        <v>0</v>
      </c>
      <c r="AD16" s="27">
        <f t="shared" ref="AD16:AD26" si="37">IF(AB16=0,0,IF(AB16&gt;0,S16-AC16,0))</f>
        <v>0</v>
      </c>
      <c r="AE16" s="27">
        <f t="shared" ref="AE16:AE26" si="38">IF(AND(U16=0,V16=0,W16=1),S16,0)</f>
        <v>0</v>
      </c>
      <c r="AF16" s="27">
        <f t="shared" ref="AF16:AF26" si="39">IF(AND(D16&gt;0,F16&lt;&gt;0,G16=0,H16=0,I16=0,J16=0),S16,0)</f>
        <v>0</v>
      </c>
      <c r="AG16" s="27">
        <f t="shared" ref="AG16:AG26" si="40">IF(AND(D16&gt;0,F16=0,G16&lt;&gt;0,H16=0,I16=0,J16=0),S16,0)</f>
        <v>0</v>
      </c>
      <c r="AH16" s="27">
        <f t="shared" ref="AH16:AH26" si="41">IF(AND(D16&gt;0,F16=0,G16=0,H16=0,I16&lt;&gt;0,J16=0),S16,0)</f>
        <v>0</v>
      </c>
      <c r="AI16" s="27">
        <f t="shared" ref="AI16:AI26" si="42">IF(AND(D16&gt;0,F16=0,G16=0,H16=0,I16=0,J16&lt;&gt;0),S16,0)</f>
        <v>0</v>
      </c>
      <c r="AJ16" s="83">
        <f t="shared" ref="AJ16:AJ26" si="43">AC16+AF16</f>
        <v>0</v>
      </c>
      <c r="AK16" s="83">
        <f t="shared" ref="AK16:AK26" si="44">AD16+AE16+AG16+AH16+AI16</f>
        <v>0</v>
      </c>
      <c r="AL16" s="166">
        <f t="shared" ref="AL16:AL26" si="45">IF(N16&gt;0,1,0)</f>
        <v>0</v>
      </c>
      <c r="AM16" s="161">
        <f>IF(AND(AM13&gt;0,D16&gt;0,AL16=1,F16&lt;&gt;0,G16=0,H16=0,I16=0,J16=0),ROUND($AM$12/$AM$13*20,0)/20,0)</f>
        <v>0</v>
      </c>
      <c r="AN16" s="75">
        <f t="shared" ref="AN16:AN26" si="46">IF(AND(D16&gt;0,U16=1,V16=0,W16=0,AL16=1,$AN$13&gt;0),ROUND($AN$12/$AN$13*20,0)/20,0)</f>
        <v>0</v>
      </c>
      <c r="AO16" s="75">
        <f t="shared" ref="AO16:AO26" si="47">IF(AND(D16&gt;0,U16=1,V16=1,W16=0,AL16=1,$AN$13&gt;0),ROUND($AO$12/$AO$13*Z16/AB16*20,0)/20,0)</f>
        <v>0</v>
      </c>
      <c r="AP16" s="33">
        <f t="shared" ref="AP16:AP25" si="48">IF(AND(D16&gt;0,U16=1,V16=1,W16=0,AL16=1,$AN$13&gt;0),ROUND($AP$12/$AP$13*AA16/AB16*20,0)/20,IF(AND(D16&gt;0,U16=0,V16=0,W16=1,AL16=1,$AN$13&gt;0),ROUND($AP$12/$AP$13*20,0)/20,0))</f>
        <v>0</v>
      </c>
      <c r="AQ16" s="27">
        <f t="shared" ref="AQ16:AQ26" si="49">IF(AND(F16&lt;&gt;0,G16=0,H16=0,I16=0,J16=0,AL16=1,$AQ$13&gt;0),ROUND($AQ$12/$AQ$13*20,0)/20,0)</f>
        <v>0</v>
      </c>
      <c r="AR16" s="27">
        <f t="shared" ref="AR16:AR26" si="50">IF(AND(D16&gt;0,U16=1,V16=0,W16=0,AL16=1,$AR$13&gt;0),ROUND($AR$12/$AR$13*20,0)/20,0)</f>
        <v>0</v>
      </c>
      <c r="AS16" s="27">
        <f t="shared" ref="AS16:AS26" si="51">IF(AND(D16&gt;0,U16=1,V16=1,W16=0,AL16=1,$AS$13&gt;0),ROUND($AS$12/$AS$13*Z16/AB16*20,0)/20,0)</f>
        <v>0</v>
      </c>
      <c r="AT16" s="169">
        <f t="shared" ref="AT16:AT26" si="52">IF(AND(D16&gt;0,U16=0,V16=0,W16=1,AL16=1,$AT$13&gt;0),ROUND($AT$12/$AT$13*20,0)/20,IF(AND(D16&gt;0,U16=1,V16=1,W16=0,AL16=1,$AT$13&gt;0),ROUND($AT$12/$AT$13*AA16/AB16*20,0)/20,0))</f>
        <v>0</v>
      </c>
      <c r="AU16" s="27">
        <f>IF(AND(D16&gt;0,F16=0,G16&lt;&gt;0,H16=0,I16=0,J16=0,AL16=1,$AU$13&gt;0),ROUND($AU$12/$AU$13*20,0)/20,IF(AND(D16&gt;0,F16=0,G16=0,H16=0,I16&lt;&gt;0,J16=0,AL16=1,$AU$13&gt;0),ROUND($AU$12/$AU$13*20,0)/20,0))</f>
        <v>0</v>
      </c>
      <c r="AV16" s="27">
        <f t="shared" ref="AV16:AV26" si="53">IF(AND(D16&gt;0,F16=0,G16=0,H16=0,I16=0,J16&lt;&gt;0,AL16=1,$AV$13&gt;0),ROUND($AV$12/$AV$13*20,0)/20,0)</f>
        <v>0</v>
      </c>
      <c r="AW16" s="27"/>
      <c r="AX16" s="27"/>
      <c r="AY16" s="27"/>
      <c r="AZ16" s="27"/>
    </row>
    <row r="17" spans="2:64" hidden="1" x14ac:dyDescent="0.25">
      <c r="B17" s="2">
        <f>Erfassung!B15</f>
        <v>0</v>
      </c>
      <c r="C17" s="2">
        <f>Erfassung!C15</f>
        <v>0</v>
      </c>
      <c r="D17" s="28">
        <f>Erfassung!D15</f>
        <v>0</v>
      </c>
      <c r="E17" s="28">
        <f>Erfassung!E15</f>
        <v>0</v>
      </c>
      <c r="F17" s="2">
        <f>Erfassung!F15</f>
        <v>0</v>
      </c>
      <c r="G17" s="2">
        <f>Erfassung!G15</f>
        <v>0</v>
      </c>
      <c r="H17" s="2">
        <f>Erfassung!H15</f>
        <v>0</v>
      </c>
      <c r="I17" s="2">
        <f>Erfassung!I15</f>
        <v>0</v>
      </c>
      <c r="J17" s="2">
        <f>Erfassung!J15</f>
        <v>0</v>
      </c>
      <c r="K17" s="275">
        <f ca="1">'Übersicht KVG'!D22</f>
        <v>0</v>
      </c>
      <c r="L17" s="27">
        <f>Erfassung!P15</f>
        <v>0</v>
      </c>
      <c r="M17" s="27">
        <f>Einnahmen!AG17</f>
        <v>0</v>
      </c>
      <c r="N17" s="274">
        <f>Erfassung!Y15-SUM(Erfassung!AN15:AQ15)</f>
        <v>0</v>
      </c>
      <c r="O17" s="27">
        <f t="shared" si="22"/>
        <v>0</v>
      </c>
      <c r="P17" s="27">
        <f t="shared" si="23"/>
        <v>0</v>
      </c>
      <c r="Q17" s="27">
        <f t="shared" si="24"/>
        <v>0</v>
      </c>
      <c r="R17" s="27">
        <f t="shared" si="25"/>
        <v>0</v>
      </c>
      <c r="S17" s="27">
        <f t="shared" ca="1" si="30"/>
        <v>0</v>
      </c>
      <c r="T17" s="28">
        <f t="shared" si="31"/>
        <v>0</v>
      </c>
      <c r="U17" s="2">
        <f t="shared" si="26"/>
        <v>0</v>
      </c>
      <c r="V17" s="2">
        <f t="shared" si="27"/>
        <v>0</v>
      </c>
      <c r="W17" s="2">
        <f t="shared" si="32"/>
        <v>0</v>
      </c>
      <c r="X17" s="28">
        <f t="shared" si="28"/>
        <v>43101</v>
      </c>
      <c r="Y17" s="28">
        <f t="shared" si="29"/>
        <v>43132</v>
      </c>
      <c r="Z17" s="2">
        <f t="shared" si="33"/>
        <v>0</v>
      </c>
      <c r="AA17" s="2">
        <f t="shared" si="34"/>
        <v>0</v>
      </c>
      <c r="AB17" s="2">
        <f t="shared" si="35"/>
        <v>0</v>
      </c>
      <c r="AC17" s="27">
        <f t="shared" si="36"/>
        <v>0</v>
      </c>
      <c r="AD17" s="27">
        <f t="shared" si="37"/>
        <v>0</v>
      </c>
      <c r="AE17" s="27">
        <f t="shared" si="38"/>
        <v>0</v>
      </c>
      <c r="AF17" s="27">
        <f t="shared" si="39"/>
        <v>0</v>
      </c>
      <c r="AG17" s="27">
        <f t="shared" si="40"/>
        <v>0</v>
      </c>
      <c r="AH17" s="27">
        <f t="shared" si="41"/>
        <v>0</v>
      </c>
      <c r="AI17" s="27">
        <f t="shared" si="42"/>
        <v>0</v>
      </c>
      <c r="AJ17" s="83">
        <f t="shared" si="43"/>
        <v>0</v>
      </c>
      <c r="AK17" s="83">
        <f t="shared" si="44"/>
        <v>0</v>
      </c>
      <c r="AL17" s="166">
        <f t="shared" si="45"/>
        <v>0</v>
      </c>
      <c r="AM17" s="161">
        <f>IF(AND(AM13&gt;0,D17&gt;0,AL17=1,F17&lt;&gt;0,G17=0,H17=0,I17=0,J17=0),ROUND($AM$12/$AM$13*20,0)/20,0)</f>
        <v>0</v>
      </c>
      <c r="AN17" s="75">
        <f t="shared" si="46"/>
        <v>0</v>
      </c>
      <c r="AO17" s="75">
        <f t="shared" si="47"/>
        <v>0</v>
      </c>
      <c r="AP17" s="33">
        <f t="shared" si="48"/>
        <v>0</v>
      </c>
      <c r="AQ17" s="27">
        <f t="shared" si="49"/>
        <v>0</v>
      </c>
      <c r="AR17" s="27">
        <f t="shared" si="50"/>
        <v>0</v>
      </c>
      <c r="AS17" s="27">
        <f t="shared" si="51"/>
        <v>0</v>
      </c>
      <c r="AT17" s="169">
        <f t="shared" si="52"/>
        <v>0</v>
      </c>
      <c r="AU17" s="27">
        <f t="shared" ref="AU17:AU26" si="54">IF(AND(D17&gt;0,F17=0,G17&lt;&gt;0,H17=0,I17=0,J17=0,AL17=1,$AU$13&gt;0),ROUND($AU$12/$AU$13*20,0)/20,IF(AND(D17&gt;0,F17=0,G17=0,H17=0,I17&lt;&gt;0,J17=0,AL17=1,$AU$13&gt;0),ROUND($AU$12/$AU$13*20,0)/20,0))</f>
        <v>0</v>
      </c>
      <c r="AV17" s="27">
        <f t="shared" si="53"/>
        <v>0</v>
      </c>
      <c r="AW17" s="27"/>
      <c r="AX17" s="27"/>
      <c r="AY17" s="27"/>
      <c r="AZ17" s="27"/>
    </row>
    <row r="18" spans="2:64" hidden="1" x14ac:dyDescent="0.25">
      <c r="B18" s="2">
        <f>Erfassung!B16</f>
        <v>0</v>
      </c>
      <c r="C18" s="2">
        <f>Erfassung!C16</f>
        <v>0</v>
      </c>
      <c r="D18" s="28">
        <f>Erfassung!D16</f>
        <v>0</v>
      </c>
      <c r="E18" s="28">
        <f>Erfassung!E16</f>
        <v>0</v>
      </c>
      <c r="F18" s="2">
        <f>Erfassung!F16</f>
        <v>0</v>
      </c>
      <c r="G18" s="2">
        <f>Erfassung!G16</f>
        <v>0</v>
      </c>
      <c r="H18" s="2">
        <f>Erfassung!H16</f>
        <v>0</v>
      </c>
      <c r="I18" s="2">
        <f>Erfassung!I16</f>
        <v>0</v>
      </c>
      <c r="J18" s="2">
        <f>Erfassung!J16</f>
        <v>0</v>
      </c>
      <c r="K18" s="275">
        <f ca="1">'Übersicht KVG'!D23</f>
        <v>0</v>
      </c>
      <c r="L18" s="27">
        <f>Erfassung!P16</f>
        <v>0</v>
      </c>
      <c r="M18" s="27">
        <f>Einnahmen!AG18</f>
        <v>0</v>
      </c>
      <c r="N18" s="274">
        <f>Erfassung!Y16-SUM(Erfassung!AN16:AQ16)</f>
        <v>0</v>
      </c>
      <c r="O18" s="27">
        <f t="shared" si="22"/>
        <v>0</v>
      </c>
      <c r="P18" s="27">
        <f t="shared" si="23"/>
        <v>0</v>
      </c>
      <c r="Q18" s="27">
        <f t="shared" si="24"/>
        <v>0</v>
      </c>
      <c r="R18" s="27">
        <f t="shared" si="25"/>
        <v>0</v>
      </c>
      <c r="S18" s="27">
        <f t="shared" ca="1" si="30"/>
        <v>0</v>
      </c>
      <c r="T18" s="28">
        <f t="shared" si="31"/>
        <v>0</v>
      </c>
      <c r="U18" s="2">
        <f t="shared" si="26"/>
        <v>0</v>
      </c>
      <c r="V18" s="2">
        <f t="shared" si="27"/>
        <v>0</v>
      </c>
      <c r="W18" s="2">
        <f t="shared" si="32"/>
        <v>0</v>
      </c>
      <c r="X18" s="28">
        <f t="shared" si="28"/>
        <v>43101</v>
      </c>
      <c r="Y18" s="28">
        <f t="shared" si="29"/>
        <v>43132</v>
      </c>
      <c r="Z18" s="2">
        <f t="shared" si="33"/>
        <v>0</v>
      </c>
      <c r="AA18" s="2">
        <f t="shared" si="34"/>
        <v>0</v>
      </c>
      <c r="AB18" s="2">
        <f t="shared" si="35"/>
        <v>0</v>
      </c>
      <c r="AC18" s="27">
        <f t="shared" si="36"/>
        <v>0</v>
      </c>
      <c r="AD18" s="27">
        <f t="shared" si="37"/>
        <v>0</v>
      </c>
      <c r="AE18" s="27">
        <f t="shared" si="38"/>
        <v>0</v>
      </c>
      <c r="AF18" s="27">
        <f t="shared" si="39"/>
        <v>0</v>
      </c>
      <c r="AG18" s="27">
        <f t="shared" si="40"/>
        <v>0</v>
      </c>
      <c r="AH18" s="27">
        <f t="shared" si="41"/>
        <v>0</v>
      </c>
      <c r="AI18" s="27">
        <f t="shared" si="42"/>
        <v>0</v>
      </c>
      <c r="AJ18" s="83">
        <f t="shared" si="43"/>
        <v>0</v>
      </c>
      <c r="AK18" s="83">
        <f t="shared" si="44"/>
        <v>0</v>
      </c>
      <c r="AL18" s="166">
        <f t="shared" si="45"/>
        <v>0</v>
      </c>
      <c r="AM18" s="161">
        <f>IF(AND(AM13&gt;0,D18&gt;0,AL18=1,F18&lt;&gt;0,G18=0,H18=0,I18=0,J18=0),ROUND($AM$12/$AM$13*20,0)/20,0)</f>
        <v>0</v>
      </c>
      <c r="AN18" s="75">
        <f t="shared" si="46"/>
        <v>0</v>
      </c>
      <c r="AO18" s="75">
        <f t="shared" si="47"/>
        <v>0</v>
      </c>
      <c r="AP18" s="33">
        <f t="shared" si="48"/>
        <v>0</v>
      </c>
      <c r="AQ18" s="27">
        <f t="shared" si="49"/>
        <v>0</v>
      </c>
      <c r="AR18" s="27">
        <f t="shared" si="50"/>
        <v>0</v>
      </c>
      <c r="AS18" s="27">
        <f t="shared" si="51"/>
        <v>0</v>
      </c>
      <c r="AT18" s="169">
        <f t="shared" si="52"/>
        <v>0</v>
      </c>
      <c r="AU18" s="27">
        <f t="shared" si="54"/>
        <v>0</v>
      </c>
      <c r="AV18" s="27">
        <f t="shared" si="53"/>
        <v>0</v>
      </c>
      <c r="AW18" s="27"/>
      <c r="AX18" s="27"/>
      <c r="AY18" s="27"/>
      <c r="AZ18" s="27"/>
    </row>
    <row r="19" spans="2:64" hidden="1" x14ac:dyDescent="0.25">
      <c r="B19" s="2">
        <f>Erfassung!B17</f>
        <v>0</v>
      </c>
      <c r="C19" s="2">
        <f>Erfassung!C17</f>
        <v>0</v>
      </c>
      <c r="D19" s="28">
        <f>Erfassung!D17</f>
        <v>0</v>
      </c>
      <c r="E19" s="28">
        <f>Erfassung!E17</f>
        <v>0</v>
      </c>
      <c r="F19" s="2">
        <f>Erfassung!F17</f>
        <v>0</v>
      </c>
      <c r="G19" s="2">
        <f>Erfassung!G17</f>
        <v>0</v>
      </c>
      <c r="H19" s="2">
        <f>Erfassung!H17</f>
        <v>0</v>
      </c>
      <c r="I19" s="2">
        <f>Erfassung!I17</f>
        <v>0</v>
      </c>
      <c r="J19" s="2">
        <f>Erfassung!J17</f>
        <v>0</v>
      </c>
      <c r="K19" s="275">
        <f ca="1">'Übersicht KVG'!D24</f>
        <v>0</v>
      </c>
      <c r="L19" s="27">
        <f>Erfassung!P17</f>
        <v>0</v>
      </c>
      <c r="M19" s="27">
        <f>Einnahmen!AG19</f>
        <v>0</v>
      </c>
      <c r="N19" s="274">
        <f>Erfassung!Y17-SUM(Erfassung!AN17:AQ17)</f>
        <v>0</v>
      </c>
      <c r="O19" s="27">
        <f t="shared" si="22"/>
        <v>0</v>
      </c>
      <c r="P19" s="27">
        <f t="shared" si="23"/>
        <v>0</v>
      </c>
      <c r="Q19" s="27">
        <f t="shared" si="24"/>
        <v>0</v>
      </c>
      <c r="R19" s="27">
        <f t="shared" si="25"/>
        <v>0</v>
      </c>
      <c r="S19" s="27">
        <f t="shared" ca="1" si="30"/>
        <v>0</v>
      </c>
      <c r="T19" s="28">
        <f t="shared" si="31"/>
        <v>0</v>
      </c>
      <c r="U19" s="2">
        <f t="shared" si="26"/>
        <v>0</v>
      </c>
      <c r="V19" s="2">
        <f t="shared" si="27"/>
        <v>0</v>
      </c>
      <c r="W19" s="2">
        <f t="shared" si="32"/>
        <v>0</v>
      </c>
      <c r="X19" s="28">
        <f t="shared" si="28"/>
        <v>43101</v>
      </c>
      <c r="Y19" s="28">
        <f t="shared" si="29"/>
        <v>43132</v>
      </c>
      <c r="Z19" s="2">
        <f t="shared" si="33"/>
        <v>0</v>
      </c>
      <c r="AA19" s="2">
        <f t="shared" si="34"/>
        <v>0</v>
      </c>
      <c r="AB19" s="2">
        <f t="shared" si="35"/>
        <v>0</v>
      </c>
      <c r="AC19" s="27">
        <f t="shared" si="36"/>
        <v>0</v>
      </c>
      <c r="AD19" s="27">
        <f t="shared" si="37"/>
        <v>0</v>
      </c>
      <c r="AE19" s="27">
        <f t="shared" si="38"/>
        <v>0</v>
      </c>
      <c r="AF19" s="27">
        <f t="shared" si="39"/>
        <v>0</v>
      </c>
      <c r="AG19" s="27">
        <f t="shared" si="40"/>
        <v>0</v>
      </c>
      <c r="AH19" s="27">
        <f t="shared" si="41"/>
        <v>0</v>
      </c>
      <c r="AI19" s="27">
        <f t="shared" si="42"/>
        <v>0</v>
      </c>
      <c r="AJ19" s="83">
        <f t="shared" si="43"/>
        <v>0</v>
      </c>
      <c r="AK19" s="83">
        <f t="shared" si="44"/>
        <v>0</v>
      </c>
      <c r="AL19" s="166">
        <f t="shared" si="45"/>
        <v>0</v>
      </c>
      <c r="AM19" s="161">
        <f>IF(AND(AM13&gt;0,D19&gt;0,AL19=1,F19&lt;&gt;0,G19=0,H19=0,I19=0,J19=0),ROUND($AM$12/$AM$13*20,0)/20,0)</f>
        <v>0</v>
      </c>
      <c r="AN19" s="75">
        <f t="shared" si="46"/>
        <v>0</v>
      </c>
      <c r="AO19" s="75">
        <f t="shared" si="47"/>
        <v>0</v>
      </c>
      <c r="AP19" s="33">
        <f t="shared" si="48"/>
        <v>0</v>
      </c>
      <c r="AQ19" s="27">
        <f t="shared" si="49"/>
        <v>0</v>
      </c>
      <c r="AR19" s="27">
        <f t="shared" si="50"/>
        <v>0</v>
      </c>
      <c r="AS19" s="27">
        <f t="shared" si="51"/>
        <v>0</v>
      </c>
      <c r="AT19" s="169">
        <f t="shared" si="52"/>
        <v>0</v>
      </c>
      <c r="AU19" s="27">
        <f t="shared" si="54"/>
        <v>0</v>
      </c>
      <c r="AV19" s="27">
        <f t="shared" si="53"/>
        <v>0</v>
      </c>
      <c r="AW19" s="27"/>
      <c r="AX19" s="27"/>
      <c r="AY19" s="27"/>
      <c r="AZ19" s="27"/>
    </row>
    <row r="20" spans="2:64" hidden="1" x14ac:dyDescent="0.25">
      <c r="B20" s="2">
        <f>Erfassung!B18</f>
        <v>0</v>
      </c>
      <c r="C20" s="2">
        <f>Erfassung!C18</f>
        <v>0</v>
      </c>
      <c r="D20" s="28">
        <f>Erfassung!D18</f>
        <v>0</v>
      </c>
      <c r="E20" s="28">
        <f>Erfassung!E18</f>
        <v>0</v>
      </c>
      <c r="F20" s="2">
        <f>Erfassung!F18</f>
        <v>0</v>
      </c>
      <c r="G20" s="2">
        <f>Erfassung!G18</f>
        <v>0</v>
      </c>
      <c r="H20" s="2">
        <f>Erfassung!H18</f>
        <v>0</v>
      </c>
      <c r="I20" s="2">
        <f>Erfassung!I18</f>
        <v>0</v>
      </c>
      <c r="J20" s="2">
        <f>Erfassung!J18</f>
        <v>0</v>
      </c>
      <c r="K20" s="275">
        <f ca="1">'Übersicht KVG'!D25</f>
        <v>0</v>
      </c>
      <c r="L20" s="27">
        <f>Erfassung!P18</f>
        <v>0</v>
      </c>
      <c r="M20" s="27">
        <f>Einnahmen!AG20</f>
        <v>0</v>
      </c>
      <c r="N20" s="274">
        <f>Erfassung!Y18-SUM(Erfassung!AN18:AQ18)</f>
        <v>0</v>
      </c>
      <c r="O20" s="27">
        <f t="shared" si="22"/>
        <v>0</v>
      </c>
      <c r="P20" s="27">
        <f t="shared" si="23"/>
        <v>0</v>
      </c>
      <c r="Q20" s="27">
        <f t="shared" si="24"/>
        <v>0</v>
      </c>
      <c r="R20" s="27">
        <f t="shared" si="25"/>
        <v>0</v>
      </c>
      <c r="S20" s="27">
        <f t="shared" ca="1" si="30"/>
        <v>0</v>
      </c>
      <c r="T20" s="28">
        <f t="shared" si="31"/>
        <v>0</v>
      </c>
      <c r="U20" s="2">
        <f t="shared" si="26"/>
        <v>0</v>
      </c>
      <c r="V20" s="2">
        <f t="shared" si="27"/>
        <v>0</v>
      </c>
      <c r="W20" s="2">
        <f t="shared" si="32"/>
        <v>0</v>
      </c>
      <c r="X20" s="28">
        <f t="shared" si="28"/>
        <v>43101</v>
      </c>
      <c r="Y20" s="28">
        <f t="shared" si="29"/>
        <v>43132</v>
      </c>
      <c r="Z20" s="2">
        <f t="shared" si="33"/>
        <v>0</v>
      </c>
      <c r="AA20" s="2">
        <f t="shared" si="34"/>
        <v>0</v>
      </c>
      <c r="AB20" s="2">
        <f t="shared" si="35"/>
        <v>0</v>
      </c>
      <c r="AC20" s="27">
        <f t="shared" si="36"/>
        <v>0</v>
      </c>
      <c r="AD20" s="27">
        <f t="shared" si="37"/>
        <v>0</v>
      </c>
      <c r="AE20" s="27">
        <f t="shared" si="38"/>
        <v>0</v>
      </c>
      <c r="AF20" s="27">
        <f t="shared" si="39"/>
        <v>0</v>
      </c>
      <c r="AG20" s="27">
        <f t="shared" si="40"/>
        <v>0</v>
      </c>
      <c r="AH20" s="27">
        <f t="shared" si="41"/>
        <v>0</v>
      </c>
      <c r="AI20" s="27">
        <f t="shared" si="42"/>
        <v>0</v>
      </c>
      <c r="AJ20" s="83">
        <f t="shared" si="43"/>
        <v>0</v>
      </c>
      <c r="AK20" s="83">
        <f t="shared" si="44"/>
        <v>0</v>
      </c>
      <c r="AL20" s="166">
        <f t="shared" si="45"/>
        <v>0</v>
      </c>
      <c r="AM20" s="161">
        <f>IF(AND(AM13&gt;0,D20&gt;0,AL20=1,F20&lt;&gt;0,G20=0,H20=0,I20=0,J20=0),ROUND($AM$12/$AM$13*20,0)/20,0)</f>
        <v>0</v>
      </c>
      <c r="AN20" s="75">
        <f t="shared" si="46"/>
        <v>0</v>
      </c>
      <c r="AO20" s="75">
        <f t="shared" si="47"/>
        <v>0</v>
      </c>
      <c r="AP20" s="33">
        <f t="shared" si="48"/>
        <v>0</v>
      </c>
      <c r="AQ20" s="27">
        <f t="shared" si="49"/>
        <v>0</v>
      </c>
      <c r="AR20" s="27">
        <f t="shared" si="50"/>
        <v>0</v>
      </c>
      <c r="AS20" s="27">
        <f t="shared" si="51"/>
        <v>0</v>
      </c>
      <c r="AT20" s="169">
        <f t="shared" si="52"/>
        <v>0</v>
      </c>
      <c r="AU20" s="27">
        <f t="shared" si="54"/>
        <v>0</v>
      </c>
      <c r="AV20" s="27">
        <f t="shared" si="53"/>
        <v>0</v>
      </c>
      <c r="AW20" s="27"/>
      <c r="AX20" s="27"/>
      <c r="AY20" s="27"/>
      <c r="AZ20" s="27"/>
    </row>
    <row r="21" spans="2:64" hidden="1" x14ac:dyDescent="0.25">
      <c r="B21" s="2">
        <f>Erfassung!B19</f>
        <v>0</v>
      </c>
      <c r="C21" s="2">
        <f>Erfassung!C19</f>
        <v>0</v>
      </c>
      <c r="D21" s="28">
        <f>Erfassung!D19</f>
        <v>0</v>
      </c>
      <c r="E21" s="28">
        <f>Erfassung!E19</f>
        <v>0</v>
      </c>
      <c r="F21" s="2">
        <f>Erfassung!F19</f>
        <v>0</v>
      </c>
      <c r="G21" s="2">
        <f>Erfassung!G19</f>
        <v>0</v>
      </c>
      <c r="H21" s="2">
        <f>Erfassung!H19</f>
        <v>0</v>
      </c>
      <c r="I21" s="2">
        <f>Erfassung!I19</f>
        <v>0</v>
      </c>
      <c r="J21" s="2">
        <f>Erfassung!J19</f>
        <v>0</v>
      </c>
      <c r="K21" s="275">
        <f ca="1">'Übersicht KVG'!D26</f>
        <v>0</v>
      </c>
      <c r="L21" s="27">
        <f>Erfassung!P19</f>
        <v>0</v>
      </c>
      <c r="M21" s="27">
        <f>Einnahmen!AG21</f>
        <v>0</v>
      </c>
      <c r="N21" s="274">
        <f>Erfassung!Y19-SUM(Erfassung!AN19:AQ19)</f>
        <v>0</v>
      </c>
      <c r="O21" s="27">
        <f t="shared" si="22"/>
        <v>0</v>
      </c>
      <c r="P21" s="27">
        <f t="shared" si="23"/>
        <v>0</v>
      </c>
      <c r="Q21" s="27">
        <f t="shared" si="24"/>
        <v>0</v>
      </c>
      <c r="R21" s="27">
        <f t="shared" si="25"/>
        <v>0</v>
      </c>
      <c r="S21" s="27">
        <f t="shared" ca="1" si="30"/>
        <v>0</v>
      </c>
      <c r="T21" s="28">
        <f t="shared" si="31"/>
        <v>0</v>
      </c>
      <c r="U21" s="2">
        <f t="shared" si="26"/>
        <v>0</v>
      </c>
      <c r="V21" s="2">
        <f t="shared" si="27"/>
        <v>0</v>
      </c>
      <c r="W21" s="2">
        <f t="shared" si="32"/>
        <v>0</v>
      </c>
      <c r="X21" s="28">
        <f t="shared" si="28"/>
        <v>43101</v>
      </c>
      <c r="Y21" s="28">
        <f t="shared" si="29"/>
        <v>43132</v>
      </c>
      <c r="Z21" s="2">
        <f t="shared" si="33"/>
        <v>0</v>
      </c>
      <c r="AA21" s="2">
        <f t="shared" si="34"/>
        <v>0</v>
      </c>
      <c r="AB21" s="2">
        <f t="shared" si="35"/>
        <v>0</v>
      </c>
      <c r="AC21" s="27">
        <f t="shared" si="36"/>
        <v>0</v>
      </c>
      <c r="AD21" s="27">
        <f t="shared" si="37"/>
        <v>0</v>
      </c>
      <c r="AE21" s="27">
        <f t="shared" si="38"/>
        <v>0</v>
      </c>
      <c r="AF21" s="27">
        <f t="shared" si="39"/>
        <v>0</v>
      </c>
      <c r="AG21" s="27">
        <f t="shared" si="40"/>
        <v>0</v>
      </c>
      <c r="AH21" s="27">
        <f t="shared" si="41"/>
        <v>0</v>
      </c>
      <c r="AI21" s="27">
        <f t="shared" si="42"/>
        <v>0</v>
      </c>
      <c r="AJ21" s="83">
        <f t="shared" si="43"/>
        <v>0</v>
      </c>
      <c r="AK21" s="83">
        <f t="shared" si="44"/>
        <v>0</v>
      </c>
      <c r="AL21" s="166">
        <f t="shared" si="45"/>
        <v>0</v>
      </c>
      <c r="AM21" s="161">
        <f>IF(AND(AM13&gt;0,D21&gt;0,AL21=1,F21&lt;&gt;0,G21=0,H21=0,I21=0,J21=0),ROUND($AM$12/$AM$13*20,0)/20,0)</f>
        <v>0</v>
      </c>
      <c r="AN21" s="75">
        <f t="shared" si="46"/>
        <v>0</v>
      </c>
      <c r="AO21" s="75">
        <f t="shared" si="47"/>
        <v>0</v>
      </c>
      <c r="AP21" s="33">
        <f t="shared" si="48"/>
        <v>0</v>
      </c>
      <c r="AQ21" s="27">
        <f t="shared" si="49"/>
        <v>0</v>
      </c>
      <c r="AR21" s="27">
        <f t="shared" si="50"/>
        <v>0</v>
      </c>
      <c r="AS21" s="27">
        <f t="shared" si="51"/>
        <v>0</v>
      </c>
      <c r="AT21" s="169">
        <f t="shared" si="52"/>
        <v>0</v>
      </c>
      <c r="AU21" s="27">
        <f t="shared" si="54"/>
        <v>0</v>
      </c>
      <c r="AV21" s="27">
        <f t="shared" si="53"/>
        <v>0</v>
      </c>
      <c r="AW21" s="27"/>
      <c r="AX21" s="27"/>
      <c r="AY21" s="27"/>
      <c r="AZ21" s="27"/>
    </row>
    <row r="22" spans="2:64" hidden="1" x14ac:dyDescent="0.25">
      <c r="B22" s="2">
        <f>Erfassung!B20</f>
        <v>0</v>
      </c>
      <c r="C22" s="2">
        <f>Erfassung!C20</f>
        <v>0</v>
      </c>
      <c r="D22" s="28">
        <f>Erfassung!D20</f>
        <v>0</v>
      </c>
      <c r="E22" s="28">
        <f>Erfassung!E20</f>
        <v>0</v>
      </c>
      <c r="F22" s="2">
        <f>Erfassung!F20</f>
        <v>0</v>
      </c>
      <c r="G22" s="2">
        <f>Erfassung!G20</f>
        <v>0</v>
      </c>
      <c r="H22" s="2">
        <f>Erfassung!H20</f>
        <v>0</v>
      </c>
      <c r="I22" s="2">
        <f>Erfassung!I20</f>
        <v>0</v>
      </c>
      <c r="J22" s="2">
        <f>Erfassung!J20</f>
        <v>0</v>
      </c>
      <c r="K22" s="275">
        <f ca="1">'Übersicht KVG'!D27</f>
        <v>0</v>
      </c>
      <c r="L22" s="27">
        <f>Erfassung!P20</f>
        <v>0</v>
      </c>
      <c r="M22" s="27">
        <f>Einnahmen!AG22</f>
        <v>0</v>
      </c>
      <c r="N22" s="274">
        <f>Erfassung!Y20-SUM(Erfassung!AN20:AQ20)</f>
        <v>0</v>
      </c>
      <c r="O22" s="27">
        <f t="shared" si="22"/>
        <v>0</v>
      </c>
      <c r="P22" s="27">
        <f t="shared" si="23"/>
        <v>0</v>
      </c>
      <c r="Q22" s="27">
        <f t="shared" si="24"/>
        <v>0</v>
      </c>
      <c r="R22" s="27">
        <f t="shared" si="25"/>
        <v>0</v>
      </c>
      <c r="S22" s="27">
        <f t="shared" ca="1" si="30"/>
        <v>0</v>
      </c>
      <c r="T22" s="28">
        <f t="shared" si="31"/>
        <v>0</v>
      </c>
      <c r="U22" s="2">
        <f t="shared" si="26"/>
        <v>0</v>
      </c>
      <c r="V22" s="2">
        <f t="shared" si="27"/>
        <v>0</v>
      </c>
      <c r="W22" s="2">
        <f t="shared" si="32"/>
        <v>0</v>
      </c>
      <c r="X22" s="28">
        <f t="shared" si="28"/>
        <v>43101</v>
      </c>
      <c r="Y22" s="28">
        <f t="shared" si="29"/>
        <v>43132</v>
      </c>
      <c r="Z22" s="2">
        <f t="shared" si="33"/>
        <v>0</v>
      </c>
      <c r="AA22" s="2">
        <f t="shared" si="34"/>
        <v>0</v>
      </c>
      <c r="AB22" s="2">
        <f t="shared" si="35"/>
        <v>0</v>
      </c>
      <c r="AC22" s="27">
        <f t="shared" si="36"/>
        <v>0</v>
      </c>
      <c r="AD22" s="27">
        <f t="shared" si="37"/>
        <v>0</v>
      </c>
      <c r="AE22" s="27">
        <f t="shared" si="38"/>
        <v>0</v>
      </c>
      <c r="AF22" s="27">
        <f t="shared" si="39"/>
        <v>0</v>
      </c>
      <c r="AG22" s="27">
        <f t="shared" si="40"/>
        <v>0</v>
      </c>
      <c r="AH22" s="27">
        <f t="shared" si="41"/>
        <v>0</v>
      </c>
      <c r="AI22" s="27">
        <f t="shared" si="42"/>
        <v>0</v>
      </c>
      <c r="AJ22" s="83">
        <f t="shared" si="43"/>
        <v>0</v>
      </c>
      <c r="AK22" s="83">
        <f t="shared" si="44"/>
        <v>0</v>
      </c>
      <c r="AL22" s="166">
        <f t="shared" si="45"/>
        <v>0</v>
      </c>
      <c r="AM22" s="161">
        <f>IF(AND(AM13&gt;0,D22&gt;0,AL22=1,F22&lt;&gt;0,G22=0,H22=0,I22=0,J22=0),ROUND($AM$12/$AM$13*20,0)/20,0)</f>
        <v>0</v>
      </c>
      <c r="AN22" s="75">
        <f t="shared" si="46"/>
        <v>0</v>
      </c>
      <c r="AO22" s="75">
        <f t="shared" si="47"/>
        <v>0</v>
      </c>
      <c r="AP22" s="33">
        <f t="shared" si="48"/>
        <v>0</v>
      </c>
      <c r="AQ22" s="27">
        <f t="shared" si="49"/>
        <v>0</v>
      </c>
      <c r="AR22" s="27">
        <f t="shared" si="50"/>
        <v>0</v>
      </c>
      <c r="AS22" s="27">
        <f t="shared" si="51"/>
        <v>0</v>
      </c>
      <c r="AT22" s="169">
        <f t="shared" si="52"/>
        <v>0</v>
      </c>
      <c r="AU22" s="27">
        <f t="shared" si="54"/>
        <v>0</v>
      </c>
      <c r="AV22" s="27">
        <f t="shared" si="53"/>
        <v>0</v>
      </c>
      <c r="AW22" s="27"/>
      <c r="AX22" s="27"/>
      <c r="AY22" s="27"/>
      <c r="AZ22" s="27"/>
    </row>
    <row r="23" spans="2:64" hidden="1" x14ac:dyDescent="0.25">
      <c r="B23" s="2">
        <f>Erfassung!B21</f>
        <v>0</v>
      </c>
      <c r="C23" s="2">
        <f>Erfassung!C21</f>
        <v>0</v>
      </c>
      <c r="D23" s="28">
        <f>Erfassung!D21</f>
        <v>0</v>
      </c>
      <c r="E23" s="28">
        <f>Erfassung!E21</f>
        <v>0</v>
      </c>
      <c r="F23" s="2">
        <f>Erfassung!F21</f>
        <v>0</v>
      </c>
      <c r="G23" s="2">
        <f>Erfassung!G21</f>
        <v>0</v>
      </c>
      <c r="H23" s="2">
        <f>Erfassung!H21</f>
        <v>0</v>
      </c>
      <c r="I23" s="2">
        <f>Erfassung!I21</f>
        <v>0</v>
      </c>
      <c r="J23" s="2">
        <f>Erfassung!J21</f>
        <v>0</v>
      </c>
      <c r="K23" s="275">
        <f ca="1">'Übersicht KVG'!D28</f>
        <v>0</v>
      </c>
      <c r="L23" s="27">
        <f>Erfassung!P21</f>
        <v>0</v>
      </c>
      <c r="M23" s="27">
        <f>Einnahmen!AG23</f>
        <v>0</v>
      </c>
      <c r="N23" s="274">
        <f>Erfassung!Y21-SUM(Erfassung!AN21:AQ21)</f>
        <v>0</v>
      </c>
      <c r="O23" s="27">
        <f t="shared" si="22"/>
        <v>0</v>
      </c>
      <c r="P23" s="27">
        <f t="shared" si="23"/>
        <v>0</v>
      </c>
      <c r="Q23" s="27">
        <f t="shared" si="24"/>
        <v>0</v>
      </c>
      <c r="R23" s="27">
        <f t="shared" si="25"/>
        <v>0</v>
      </c>
      <c r="S23" s="27">
        <f t="shared" ca="1" si="30"/>
        <v>0</v>
      </c>
      <c r="T23" s="28">
        <f t="shared" si="31"/>
        <v>0</v>
      </c>
      <c r="U23" s="2">
        <f t="shared" si="26"/>
        <v>0</v>
      </c>
      <c r="V23" s="2">
        <f t="shared" si="27"/>
        <v>0</v>
      </c>
      <c r="W23" s="2">
        <f t="shared" si="32"/>
        <v>0</v>
      </c>
      <c r="X23" s="28">
        <f t="shared" si="28"/>
        <v>43101</v>
      </c>
      <c r="Y23" s="28">
        <f t="shared" si="29"/>
        <v>43132</v>
      </c>
      <c r="Z23" s="2">
        <f t="shared" si="33"/>
        <v>0</v>
      </c>
      <c r="AA23" s="2">
        <f t="shared" si="34"/>
        <v>0</v>
      </c>
      <c r="AB23" s="2">
        <f t="shared" si="35"/>
        <v>0</v>
      </c>
      <c r="AC23" s="27">
        <f t="shared" si="36"/>
        <v>0</v>
      </c>
      <c r="AD23" s="27">
        <f t="shared" si="37"/>
        <v>0</v>
      </c>
      <c r="AE23" s="27">
        <f t="shared" si="38"/>
        <v>0</v>
      </c>
      <c r="AF23" s="27">
        <f t="shared" si="39"/>
        <v>0</v>
      </c>
      <c r="AG23" s="27">
        <f t="shared" si="40"/>
        <v>0</v>
      </c>
      <c r="AH23" s="27">
        <f t="shared" si="41"/>
        <v>0</v>
      </c>
      <c r="AI23" s="27">
        <f t="shared" si="42"/>
        <v>0</v>
      </c>
      <c r="AJ23" s="83">
        <f t="shared" si="43"/>
        <v>0</v>
      </c>
      <c r="AK23" s="83">
        <f t="shared" si="44"/>
        <v>0</v>
      </c>
      <c r="AL23" s="166">
        <f t="shared" si="45"/>
        <v>0</v>
      </c>
      <c r="AM23" s="161">
        <f>IF(AND(AM13&gt;0,D23&gt;0,AL23=1,F23&lt;&gt;0,G23=0,H23=0,I23=0,J23=0),ROUND($AM$12/$AM$13*20,0)/20,0)</f>
        <v>0</v>
      </c>
      <c r="AN23" s="75">
        <f t="shared" si="46"/>
        <v>0</v>
      </c>
      <c r="AO23" s="75">
        <f t="shared" si="47"/>
        <v>0</v>
      </c>
      <c r="AP23" s="33">
        <f t="shared" si="48"/>
        <v>0</v>
      </c>
      <c r="AQ23" s="27">
        <f t="shared" si="49"/>
        <v>0</v>
      </c>
      <c r="AR23" s="27">
        <f t="shared" si="50"/>
        <v>0</v>
      </c>
      <c r="AS23" s="27">
        <f t="shared" si="51"/>
        <v>0</v>
      </c>
      <c r="AT23" s="169">
        <f t="shared" si="52"/>
        <v>0</v>
      </c>
      <c r="AU23" s="27">
        <f t="shared" si="54"/>
        <v>0</v>
      </c>
      <c r="AV23" s="27">
        <f t="shared" si="53"/>
        <v>0</v>
      </c>
      <c r="AW23" s="27"/>
      <c r="AX23" s="27"/>
      <c r="AY23" s="27"/>
      <c r="AZ23" s="27"/>
      <c r="BH23" s="328"/>
    </row>
    <row r="24" spans="2:64" hidden="1" x14ac:dyDescent="0.25">
      <c r="B24" s="2">
        <f>Erfassung!B22</f>
        <v>0</v>
      </c>
      <c r="C24" s="2">
        <f>Erfassung!C22</f>
        <v>0</v>
      </c>
      <c r="D24" s="28">
        <f>Erfassung!D22</f>
        <v>0</v>
      </c>
      <c r="E24" s="28">
        <f>Erfassung!E22</f>
        <v>0</v>
      </c>
      <c r="F24" s="2">
        <f>Erfassung!F22</f>
        <v>0</v>
      </c>
      <c r="G24" s="2">
        <f>Erfassung!G22</f>
        <v>0</v>
      </c>
      <c r="H24" s="2">
        <f>Erfassung!H22</f>
        <v>0</v>
      </c>
      <c r="I24" s="2">
        <f>Erfassung!I22</f>
        <v>0</v>
      </c>
      <c r="J24" s="2">
        <f>Erfassung!J22</f>
        <v>0</v>
      </c>
      <c r="K24" s="275">
        <f ca="1">'Übersicht KVG'!D29</f>
        <v>0</v>
      </c>
      <c r="L24" s="27">
        <f>Erfassung!P22</f>
        <v>0</v>
      </c>
      <c r="M24" s="27">
        <f>Einnahmen!AG24</f>
        <v>0</v>
      </c>
      <c r="N24" s="274">
        <f>Erfassung!Y22-SUM(Erfassung!AN22:AQ22)</f>
        <v>0</v>
      </c>
      <c r="O24" s="27">
        <f t="shared" si="22"/>
        <v>0</v>
      </c>
      <c r="P24" s="27">
        <f t="shared" si="23"/>
        <v>0</v>
      </c>
      <c r="Q24" s="27">
        <f t="shared" si="24"/>
        <v>0</v>
      </c>
      <c r="R24" s="27">
        <f t="shared" si="25"/>
        <v>0</v>
      </c>
      <c r="S24" s="27">
        <f t="shared" ca="1" si="30"/>
        <v>0</v>
      </c>
      <c r="T24" s="28">
        <f t="shared" si="31"/>
        <v>0</v>
      </c>
      <c r="U24" s="2">
        <f t="shared" si="26"/>
        <v>0</v>
      </c>
      <c r="V24" s="2">
        <f t="shared" si="27"/>
        <v>0</v>
      </c>
      <c r="W24" s="2">
        <f t="shared" si="32"/>
        <v>0</v>
      </c>
      <c r="X24" s="28">
        <f t="shared" si="28"/>
        <v>43101</v>
      </c>
      <c r="Y24" s="28">
        <f t="shared" si="29"/>
        <v>43132</v>
      </c>
      <c r="Z24" s="2">
        <f t="shared" si="33"/>
        <v>0</v>
      </c>
      <c r="AA24" s="2">
        <f t="shared" si="34"/>
        <v>0</v>
      </c>
      <c r="AB24" s="2">
        <f t="shared" si="35"/>
        <v>0</v>
      </c>
      <c r="AC24" s="27">
        <f t="shared" si="36"/>
        <v>0</v>
      </c>
      <c r="AD24" s="27">
        <f t="shared" si="37"/>
        <v>0</v>
      </c>
      <c r="AE24" s="27">
        <f t="shared" si="38"/>
        <v>0</v>
      </c>
      <c r="AF24" s="27">
        <f t="shared" si="39"/>
        <v>0</v>
      </c>
      <c r="AG24" s="27">
        <f t="shared" si="40"/>
        <v>0</v>
      </c>
      <c r="AH24" s="27">
        <f t="shared" si="41"/>
        <v>0</v>
      </c>
      <c r="AI24" s="27">
        <f t="shared" si="42"/>
        <v>0</v>
      </c>
      <c r="AJ24" s="83">
        <f t="shared" si="43"/>
        <v>0</v>
      </c>
      <c r="AK24" s="83">
        <f t="shared" si="44"/>
        <v>0</v>
      </c>
      <c r="AL24" s="166">
        <f t="shared" si="45"/>
        <v>0</v>
      </c>
      <c r="AM24" s="161">
        <f>IF(AND(AM13&gt;0,D24&gt;0,AL24=1,F24&lt;&gt;0,G24=0,H24=0,I24=0,J24=0),ROUND($AM$12/$AM$13*20,0)/20,0)</f>
        <v>0</v>
      </c>
      <c r="AN24" s="75">
        <f t="shared" si="46"/>
        <v>0</v>
      </c>
      <c r="AO24" s="75">
        <f t="shared" si="47"/>
        <v>0</v>
      </c>
      <c r="AP24" s="33">
        <f t="shared" si="48"/>
        <v>0</v>
      </c>
      <c r="AQ24" s="27">
        <f t="shared" si="49"/>
        <v>0</v>
      </c>
      <c r="AR24" s="27">
        <f t="shared" si="50"/>
        <v>0</v>
      </c>
      <c r="AS24" s="27">
        <f t="shared" si="51"/>
        <v>0</v>
      </c>
      <c r="AT24" s="169">
        <f t="shared" si="52"/>
        <v>0</v>
      </c>
      <c r="AU24" s="27">
        <f t="shared" si="54"/>
        <v>0</v>
      </c>
      <c r="AV24" s="27">
        <f t="shared" si="53"/>
        <v>0</v>
      </c>
      <c r="AW24" s="27"/>
      <c r="AX24" s="27"/>
      <c r="AY24" s="27"/>
      <c r="AZ24" s="27"/>
    </row>
    <row r="25" spans="2:64" hidden="1" x14ac:dyDescent="0.25">
      <c r="B25" s="2">
        <f>Erfassung!B23</f>
        <v>0</v>
      </c>
      <c r="C25" s="2">
        <f>Erfassung!C23</f>
        <v>0</v>
      </c>
      <c r="D25" s="28">
        <f>Erfassung!D23</f>
        <v>0</v>
      </c>
      <c r="E25" s="28">
        <f>Erfassung!E23</f>
        <v>0</v>
      </c>
      <c r="F25" s="2">
        <f>Erfassung!F23</f>
        <v>0</v>
      </c>
      <c r="G25" s="2">
        <f>Erfassung!G23</f>
        <v>0</v>
      </c>
      <c r="H25" s="2">
        <f>Erfassung!H23</f>
        <v>0</v>
      </c>
      <c r="I25" s="2">
        <f>Erfassung!I23</f>
        <v>0</v>
      </c>
      <c r="J25" s="2">
        <f>Erfassung!J23</f>
        <v>0</v>
      </c>
      <c r="K25" s="275">
        <f ca="1">'Übersicht KVG'!D30</f>
        <v>0</v>
      </c>
      <c r="L25" s="27">
        <f>Erfassung!P23</f>
        <v>0</v>
      </c>
      <c r="M25" s="27">
        <f>Einnahmen!AG25</f>
        <v>0</v>
      </c>
      <c r="N25" s="274">
        <f>Erfassung!Y23-SUM(Erfassung!AN23:AQ23)</f>
        <v>0</v>
      </c>
      <c r="O25" s="27">
        <f t="shared" si="22"/>
        <v>0</v>
      </c>
      <c r="P25" s="27">
        <f t="shared" si="23"/>
        <v>0</v>
      </c>
      <c r="Q25" s="27">
        <f t="shared" si="24"/>
        <v>0</v>
      </c>
      <c r="R25" s="27">
        <f t="shared" si="25"/>
        <v>0</v>
      </c>
      <c r="S25" s="27">
        <f t="shared" ca="1" si="30"/>
        <v>0</v>
      </c>
      <c r="T25" s="28">
        <f t="shared" si="31"/>
        <v>0</v>
      </c>
      <c r="U25" s="2">
        <f t="shared" si="26"/>
        <v>0</v>
      </c>
      <c r="V25" s="2">
        <f t="shared" si="27"/>
        <v>0</v>
      </c>
      <c r="W25" s="2">
        <f t="shared" si="32"/>
        <v>0</v>
      </c>
      <c r="X25" s="28">
        <f t="shared" si="28"/>
        <v>43101</v>
      </c>
      <c r="Y25" s="28">
        <f t="shared" si="29"/>
        <v>43132</v>
      </c>
      <c r="Z25" s="2">
        <f t="shared" si="33"/>
        <v>0</v>
      </c>
      <c r="AA25" s="2">
        <f t="shared" si="34"/>
        <v>0</v>
      </c>
      <c r="AB25" s="2">
        <f t="shared" si="35"/>
        <v>0</v>
      </c>
      <c r="AC25" s="27">
        <f t="shared" si="36"/>
        <v>0</v>
      </c>
      <c r="AD25" s="27">
        <f t="shared" si="37"/>
        <v>0</v>
      </c>
      <c r="AE25" s="27">
        <f t="shared" si="38"/>
        <v>0</v>
      </c>
      <c r="AF25" s="27">
        <f t="shared" si="39"/>
        <v>0</v>
      </c>
      <c r="AG25" s="27">
        <f t="shared" si="40"/>
        <v>0</v>
      </c>
      <c r="AH25" s="27">
        <f t="shared" si="41"/>
        <v>0</v>
      </c>
      <c r="AI25" s="27">
        <f t="shared" si="42"/>
        <v>0</v>
      </c>
      <c r="AJ25" s="83">
        <f t="shared" si="43"/>
        <v>0</v>
      </c>
      <c r="AK25" s="83">
        <f t="shared" si="44"/>
        <v>0</v>
      </c>
      <c r="AL25" s="166">
        <f t="shared" si="45"/>
        <v>0</v>
      </c>
      <c r="AM25" s="161">
        <f>IF(AND(AM13&gt;0,D25&gt;0,AL25=1,F25&lt;&gt;0,G25=0,H25=0,I25=0,J25=0),ROUND($AM$12/$AM$13*20,0)/20,0)</f>
        <v>0</v>
      </c>
      <c r="AN25" s="75">
        <f t="shared" si="46"/>
        <v>0</v>
      </c>
      <c r="AO25" s="75">
        <f t="shared" si="47"/>
        <v>0</v>
      </c>
      <c r="AP25" s="33">
        <f t="shared" si="48"/>
        <v>0</v>
      </c>
      <c r="AQ25" s="27">
        <f t="shared" si="49"/>
        <v>0</v>
      </c>
      <c r="AR25" s="27">
        <f t="shared" si="50"/>
        <v>0</v>
      </c>
      <c r="AS25" s="27">
        <f t="shared" si="51"/>
        <v>0</v>
      </c>
      <c r="AT25" s="169">
        <f t="shared" si="52"/>
        <v>0</v>
      </c>
      <c r="AU25" s="27">
        <f t="shared" si="54"/>
        <v>0</v>
      </c>
      <c r="AV25" s="27">
        <f t="shared" si="53"/>
        <v>0</v>
      </c>
      <c r="AW25" s="27"/>
      <c r="AX25" s="27"/>
      <c r="AY25" s="27"/>
      <c r="AZ25" s="27"/>
    </row>
    <row r="26" spans="2:64" hidden="1" x14ac:dyDescent="0.25">
      <c r="B26" s="2">
        <f>Erfassung!B24</f>
        <v>0</v>
      </c>
      <c r="C26" s="2">
        <f>Erfassung!C24</f>
        <v>0</v>
      </c>
      <c r="D26" s="28">
        <f>Erfassung!D24</f>
        <v>0</v>
      </c>
      <c r="E26" s="28">
        <f>Erfassung!E24</f>
        <v>0</v>
      </c>
      <c r="F26" s="2">
        <f>Erfassung!F24</f>
        <v>0</v>
      </c>
      <c r="G26" s="2">
        <f>Erfassung!G24</f>
        <v>0</v>
      </c>
      <c r="H26" s="2">
        <f>Erfassung!H24</f>
        <v>0</v>
      </c>
      <c r="I26" s="2">
        <f>Erfassung!I24</f>
        <v>0</v>
      </c>
      <c r="J26" s="2">
        <f>Erfassung!J24</f>
        <v>0</v>
      </c>
      <c r="K26" s="275">
        <f ca="1">'Übersicht KVG'!D31</f>
        <v>0</v>
      </c>
      <c r="L26" s="27">
        <f>Erfassung!P24</f>
        <v>0</v>
      </c>
      <c r="M26" s="27">
        <f>Einnahmen!AG26</f>
        <v>0</v>
      </c>
      <c r="N26" s="274">
        <f>Erfassung!Y24-SUM(Erfassung!AN24:AQ24)</f>
        <v>0</v>
      </c>
      <c r="O26" s="27">
        <f t="shared" si="22"/>
        <v>0</v>
      </c>
      <c r="P26" s="27">
        <f t="shared" si="23"/>
        <v>0</v>
      </c>
      <c r="Q26" s="27">
        <f t="shared" si="24"/>
        <v>0</v>
      </c>
      <c r="R26" s="27">
        <f t="shared" si="25"/>
        <v>0</v>
      </c>
      <c r="S26" s="27">
        <f t="shared" ca="1" si="30"/>
        <v>0</v>
      </c>
      <c r="T26" s="28">
        <f t="shared" si="31"/>
        <v>0</v>
      </c>
      <c r="U26" s="2">
        <f t="shared" si="26"/>
        <v>0</v>
      </c>
      <c r="V26" s="2">
        <f t="shared" si="27"/>
        <v>0</v>
      </c>
      <c r="W26" s="2">
        <f t="shared" si="32"/>
        <v>0</v>
      </c>
      <c r="X26" s="28">
        <f t="shared" si="28"/>
        <v>43101</v>
      </c>
      <c r="Y26" s="28">
        <f t="shared" si="29"/>
        <v>43132</v>
      </c>
      <c r="Z26" s="2">
        <f t="shared" si="33"/>
        <v>0</v>
      </c>
      <c r="AA26" s="2">
        <f t="shared" si="34"/>
        <v>0</v>
      </c>
      <c r="AB26" s="2">
        <f t="shared" si="35"/>
        <v>0</v>
      </c>
      <c r="AC26" s="27">
        <f t="shared" si="36"/>
        <v>0</v>
      </c>
      <c r="AD26" s="27">
        <f t="shared" si="37"/>
        <v>0</v>
      </c>
      <c r="AE26" s="27">
        <f t="shared" si="38"/>
        <v>0</v>
      </c>
      <c r="AF26" s="27">
        <f t="shared" si="39"/>
        <v>0</v>
      </c>
      <c r="AG26" s="27">
        <f t="shared" si="40"/>
        <v>0</v>
      </c>
      <c r="AH26" s="27">
        <f t="shared" si="41"/>
        <v>0</v>
      </c>
      <c r="AI26" s="27">
        <f t="shared" si="42"/>
        <v>0</v>
      </c>
      <c r="AJ26" s="83">
        <f t="shared" si="43"/>
        <v>0</v>
      </c>
      <c r="AK26" s="83">
        <f t="shared" si="44"/>
        <v>0</v>
      </c>
      <c r="AL26" s="166">
        <f t="shared" si="45"/>
        <v>0</v>
      </c>
      <c r="AM26" s="161">
        <f>IF(AND(AM13&gt;0,D26&gt;0,AL26=1,F26&lt;&gt;0,G26=0,H26=0,I26=0,J26=0),ROUND($AM$12/$AM$13*20,0)/20,0)</f>
        <v>0</v>
      </c>
      <c r="AN26" s="75">
        <f t="shared" si="46"/>
        <v>0</v>
      </c>
      <c r="AO26" s="75">
        <f t="shared" si="47"/>
        <v>0</v>
      </c>
      <c r="AP26" s="33">
        <f>IF(AND(D26&gt;0,U26=1,V26=1,W26=0,AL26=1,$AN$13&gt;0),ROUND($AP$12/$AP$13*AA26/AB26*20,0)/20,IF(AND(D26&gt;0,U26=0,V26=0,W26=1,AL26=1,$AN$13&gt;0),ROUND($AP$12/$AP$13*20,0)/20,0))</f>
        <v>0</v>
      </c>
      <c r="AQ26" s="27">
        <f t="shared" si="49"/>
        <v>0</v>
      </c>
      <c r="AR26" s="27">
        <f t="shared" si="50"/>
        <v>0</v>
      </c>
      <c r="AS26" s="27">
        <f t="shared" si="51"/>
        <v>0</v>
      </c>
      <c r="AT26" s="169">
        <f t="shared" si="52"/>
        <v>0</v>
      </c>
      <c r="AU26" s="27">
        <f t="shared" si="54"/>
        <v>0</v>
      </c>
      <c r="AV26" s="27">
        <f t="shared" si="53"/>
        <v>0</v>
      </c>
      <c r="AW26" s="27"/>
      <c r="AX26" s="27"/>
      <c r="AY26" s="27"/>
      <c r="AZ26" s="27"/>
    </row>
    <row r="27" spans="2:64" hidden="1" x14ac:dyDescent="0.25">
      <c r="S27" s="27">
        <f ca="1">SUM(S15:S26)</f>
        <v>0</v>
      </c>
      <c r="Z27" s="20">
        <f>SUM(Z15:Z26)</f>
        <v>0</v>
      </c>
      <c r="AA27" s="20">
        <f>SUM(AA15:AA26)</f>
        <v>0</v>
      </c>
      <c r="AB27" s="20">
        <f>SUM(AB15:AB26)</f>
        <v>0</v>
      </c>
      <c r="AJ27" s="83">
        <f>SUM(AJ15:AJ26)</f>
        <v>0</v>
      </c>
      <c r="AK27" s="83">
        <f>SUM(AK15:AK26)</f>
        <v>0</v>
      </c>
      <c r="AL27" s="165"/>
      <c r="AM27" s="19">
        <f>SUM(AM15:AM26)</f>
        <v>0</v>
      </c>
      <c r="AN27" s="19">
        <f t="shared" ref="AN27:AP27" si="55">SUM(AN15:AN26)</f>
        <v>0</v>
      </c>
      <c r="AO27" s="19">
        <f t="shared" si="55"/>
        <v>0</v>
      </c>
      <c r="AP27" s="19">
        <f t="shared" si="55"/>
        <v>0</v>
      </c>
      <c r="AQ27" s="19">
        <f t="shared" ref="AQ27" si="56">SUM(AQ15:AQ26)</f>
        <v>0</v>
      </c>
      <c r="AR27" s="19">
        <f t="shared" ref="AR27" si="57">SUM(AR15:AR26)</f>
        <v>0</v>
      </c>
      <c r="AS27" s="19">
        <f t="shared" ref="AS27" si="58">SUM(AS15:AS26)</f>
        <v>0</v>
      </c>
      <c r="AT27" s="19">
        <f t="shared" ref="AT27" si="59">SUM(AT15:AT26)</f>
        <v>0</v>
      </c>
      <c r="AU27" s="19">
        <f t="shared" ref="AU27" si="60">SUM(AU15:AU26)</f>
        <v>0</v>
      </c>
      <c r="AV27" s="19">
        <f t="shared" ref="AV27" si="61">SUM(AV15:AV26)</f>
        <v>0</v>
      </c>
      <c r="AW27" s="75"/>
      <c r="AX27" s="75"/>
      <c r="AY27" s="75">
        <f>SUM(AY15:AY26)</f>
        <v>0</v>
      </c>
      <c r="AZ27" s="75">
        <f>SUM(AZ15:AZ26)</f>
        <v>0</v>
      </c>
    </row>
    <row r="28" spans="2:64" hidden="1" x14ac:dyDescent="0.25">
      <c r="B28" s="31">
        <f>Unterstützung!B2</f>
        <v>0</v>
      </c>
      <c r="T28" s="27">
        <f ca="1">S27-SUM(AJ27:AK27)</f>
        <v>0</v>
      </c>
      <c r="AY28" s="170">
        <f>SUM(AY27:AZ27)</f>
        <v>0</v>
      </c>
    </row>
    <row r="29" spans="2:64" x14ac:dyDescent="0.25">
      <c r="B29" s="22" t="s">
        <v>430</v>
      </c>
      <c r="AM29" s="2" t="s">
        <v>57</v>
      </c>
      <c r="AN29" s="2">
        <v>5730</v>
      </c>
      <c r="AO29" s="2">
        <v>5722</v>
      </c>
      <c r="AW29" s="2"/>
      <c r="AX29" s="2"/>
      <c r="AY29" s="2"/>
      <c r="AZ29" s="2"/>
      <c r="BA29" s="2"/>
      <c r="BH29" s="2" t="s">
        <v>458</v>
      </c>
      <c r="BJ29" s="2" t="s">
        <v>333</v>
      </c>
    </row>
    <row r="30" spans="2:64" x14ac:dyDescent="0.25">
      <c r="B30" s="38">
        <f ca="1">IF(Rechnen!AC19=Rechnen!AE22,CONCATENATE(Rechnen!AC19,Rechnen!AC20,Rechnen!AD20,Rechnen!AE20,Rechnen!AF20),0)</f>
        <v>0</v>
      </c>
      <c r="AM30" s="2" t="s">
        <v>418</v>
      </c>
      <c r="AN30" s="27">
        <f>AM27</f>
        <v>0</v>
      </c>
      <c r="AO30" s="2"/>
      <c r="AR30" s="2"/>
      <c r="AS30" s="2"/>
      <c r="AT30" s="2"/>
      <c r="AW30" s="2"/>
      <c r="AX30" s="2"/>
      <c r="AY30" s="2"/>
      <c r="AZ30" s="2"/>
      <c r="BA30" s="2"/>
      <c r="BH30" s="2" t="s">
        <v>460</v>
      </c>
      <c r="BK30" s="2" t="str">
        <f>TEXT(Q52,"#'###.00")</f>
        <v>.00</v>
      </c>
      <c r="BL30" s="2" t="s">
        <v>459</v>
      </c>
    </row>
    <row r="31" spans="2:64" x14ac:dyDescent="0.25">
      <c r="AM31" s="2" t="s">
        <v>419</v>
      </c>
      <c r="AN31" s="27">
        <f>AN27</f>
        <v>0</v>
      </c>
      <c r="AO31" s="2"/>
      <c r="AR31" s="76">
        <f ca="1">IF(Q14&gt;0,Erfassung!O35,0)</f>
        <v>0</v>
      </c>
      <c r="AS31" s="2"/>
      <c r="AT31" s="2"/>
      <c r="AW31" s="2"/>
      <c r="AX31" s="2"/>
      <c r="AY31" s="2"/>
      <c r="AZ31" s="2"/>
      <c r="BA31" s="2"/>
    </row>
    <row r="32" spans="2:64" x14ac:dyDescent="0.25">
      <c r="B32" s="22"/>
      <c r="P32" s="31" t="s">
        <v>440</v>
      </c>
      <c r="Q32" s="31" t="s">
        <v>445</v>
      </c>
      <c r="AM32" s="2" t="s">
        <v>426</v>
      </c>
      <c r="AN32" s="27">
        <f>AO27</f>
        <v>0</v>
      </c>
      <c r="AO32" s="2"/>
      <c r="AR32" s="2">
        <f ca="1">IF(Q14&gt;0,CONCATENATE("(",Erfassung!Q35,")"),0)</f>
        <v>0</v>
      </c>
      <c r="AS32" s="2"/>
      <c r="AT32" s="2"/>
      <c r="AW32" s="2"/>
      <c r="AX32" s="2"/>
      <c r="AY32" s="2"/>
      <c r="AZ32" s="2"/>
      <c r="BA32" s="2"/>
      <c r="BH32" t="s">
        <v>453</v>
      </c>
      <c r="BJ32" t="s">
        <v>454</v>
      </c>
    </row>
    <row r="33" spans="1:77" x14ac:dyDescent="0.25">
      <c r="B33" s="31">
        <f ca="1">Unterstützung!B10</f>
        <v>0</v>
      </c>
      <c r="C33" s="31"/>
      <c r="D33" s="31"/>
      <c r="E33" s="31"/>
      <c r="F33" s="31"/>
      <c r="G33" s="31"/>
      <c r="H33" s="31"/>
      <c r="I33" s="31"/>
      <c r="J33" s="31"/>
      <c r="K33" s="31" t="s">
        <v>438</v>
      </c>
      <c r="L33" s="31"/>
      <c r="M33" s="31"/>
      <c r="N33" s="31"/>
      <c r="O33" s="31"/>
      <c r="P33" s="126"/>
      <c r="Q33" s="126"/>
      <c r="R33" s="31"/>
      <c r="S33" s="31"/>
      <c r="AM33" s="2" t="s">
        <v>420</v>
      </c>
      <c r="AN33" s="2"/>
      <c r="AO33" s="27">
        <f>AP27</f>
        <v>0</v>
      </c>
      <c r="AR33" s="2"/>
      <c r="AS33" s="2"/>
      <c r="AT33" s="2"/>
      <c r="AW33" s="2"/>
      <c r="AX33" s="2"/>
      <c r="AY33" s="2"/>
      <c r="AZ33" s="2"/>
      <c r="BA33" s="2"/>
      <c r="BB33" s="28">
        <f>P33</f>
        <v>0</v>
      </c>
      <c r="BC33" s="28">
        <f>Q33</f>
        <v>0</v>
      </c>
      <c r="BD33" s="274">
        <f>BC33-BB33+1</f>
        <v>1</v>
      </c>
      <c r="BE33" s="2"/>
      <c r="BF33" s="2"/>
      <c r="BG33" s="2"/>
      <c r="BH33" s="2"/>
      <c r="BI33" s="2"/>
    </row>
    <row r="34" spans="1:77" x14ac:dyDescent="0.25">
      <c r="B34" s="31">
        <f ca="1">Unterstützung!B11</f>
        <v>0</v>
      </c>
      <c r="C34" s="31"/>
      <c r="D34" s="31"/>
      <c r="E34" s="31"/>
      <c r="F34" s="31"/>
      <c r="G34" s="31"/>
      <c r="H34" s="31"/>
      <c r="I34" s="31"/>
      <c r="J34" s="31"/>
      <c r="K34" s="31" t="s">
        <v>439</v>
      </c>
      <c r="L34" s="31"/>
      <c r="M34" s="31"/>
      <c r="N34" s="31"/>
      <c r="O34" s="31"/>
      <c r="P34" s="127"/>
      <c r="Q34" s="31"/>
      <c r="R34" s="31"/>
      <c r="S34" s="31"/>
      <c r="AM34" s="2" t="s">
        <v>421</v>
      </c>
      <c r="AN34" s="27">
        <f>AQ27</f>
        <v>0</v>
      </c>
      <c r="AO34" s="2"/>
      <c r="AR34" s="2" t="s">
        <v>72</v>
      </c>
      <c r="AS34" s="2"/>
      <c r="AT34" s="2"/>
      <c r="AW34" s="2"/>
      <c r="AX34" s="2"/>
      <c r="AY34" s="2"/>
      <c r="AZ34" s="2"/>
      <c r="BA34" s="2"/>
      <c r="BE34" s="2"/>
      <c r="BF34" s="2"/>
      <c r="BG34" s="2"/>
      <c r="BH34" s="2"/>
      <c r="BI34" s="2"/>
    </row>
    <row r="35" spans="1:77" x14ac:dyDescent="0.25">
      <c r="B35" s="31">
        <f>Unterstützung!B13</f>
        <v>0</v>
      </c>
      <c r="C35" s="31"/>
      <c r="D35" s="31"/>
      <c r="E35" s="31"/>
      <c r="F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AM35" s="2" t="s">
        <v>422</v>
      </c>
      <c r="AN35" s="27">
        <f>AR27</f>
        <v>0</v>
      </c>
      <c r="AO35" s="2"/>
      <c r="AR35" s="2" t="s">
        <v>295</v>
      </c>
      <c r="AS35" s="2"/>
      <c r="AT35" s="2"/>
      <c r="AW35" s="2"/>
      <c r="AX35" s="2"/>
      <c r="AY35" s="2"/>
      <c r="AZ35" s="2"/>
      <c r="BA35" s="2"/>
      <c r="BE35" s="2"/>
      <c r="BF35" s="2"/>
      <c r="BG35" s="2">
        <f>Q33-P33+1</f>
        <v>1</v>
      </c>
      <c r="BH35" s="2"/>
      <c r="BI35" s="2">
        <f>MONTH(P33)</f>
        <v>1</v>
      </c>
      <c r="BJ35" s="2">
        <f>MONTH(Q33)</f>
        <v>1</v>
      </c>
      <c r="BQ35" s="2">
        <f>BI35</f>
        <v>1</v>
      </c>
      <c r="BR35" s="2">
        <f>BJ35</f>
        <v>1</v>
      </c>
      <c r="BW35" s="2" t="s">
        <v>448</v>
      </c>
      <c r="BX35" s="2" t="s">
        <v>449</v>
      </c>
      <c r="BY35" s="2" t="s">
        <v>448</v>
      </c>
    </row>
    <row r="36" spans="1:77" x14ac:dyDescent="0.25">
      <c r="B36" s="31"/>
      <c r="C36" s="31"/>
      <c r="D36" s="31"/>
      <c r="E36" s="31"/>
      <c r="F36" s="31"/>
      <c r="M36" s="31">
        <f>IF(BZ15&gt;0,BG46,0)</f>
        <v>0</v>
      </c>
      <c r="N36" s="31"/>
      <c r="O36" s="31"/>
      <c r="P36" s="31"/>
      <c r="Q36" s="31"/>
      <c r="AM36" s="2" t="s">
        <v>613</v>
      </c>
      <c r="AN36" s="27"/>
      <c r="AO36" s="2"/>
      <c r="AR36" s="2"/>
      <c r="AS36" s="2"/>
      <c r="AT36" s="2"/>
      <c r="AW36" s="2"/>
      <c r="AX36" s="2"/>
      <c r="AY36" s="2"/>
      <c r="AZ36" s="2"/>
      <c r="BA36" s="2"/>
      <c r="BE36" s="2"/>
      <c r="BF36" s="2"/>
      <c r="BG36" s="2"/>
      <c r="BH36" s="2"/>
      <c r="BI36" s="2"/>
      <c r="BJ36" s="2"/>
      <c r="BQ36" s="2"/>
      <c r="BR36" s="2"/>
      <c r="BW36" s="2"/>
      <c r="BX36" s="2"/>
      <c r="BY36" s="2"/>
    </row>
    <row r="37" spans="1:77" x14ac:dyDescent="0.2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Q37" s="177" t="s">
        <v>281</v>
      </c>
      <c r="R37" s="189" t="s">
        <v>433</v>
      </c>
      <c r="S37" s="191" t="s">
        <v>432</v>
      </c>
      <c r="Y37" s="275"/>
      <c r="Z37" s="274">
        <f>Rechnen!N51</f>
        <v>0</v>
      </c>
      <c r="AA37" s="23" t="s">
        <v>575</v>
      </c>
      <c r="AM37" s="2" t="s">
        <v>427</v>
      </c>
      <c r="AN37" s="27">
        <f>AS27</f>
        <v>0</v>
      </c>
      <c r="AO37" s="2"/>
      <c r="AR37" s="2"/>
      <c r="AS37" s="2"/>
      <c r="AT37" s="2"/>
      <c r="AW37" s="2"/>
      <c r="AX37" s="2"/>
      <c r="AY37" s="2"/>
      <c r="AZ37" s="2"/>
      <c r="BA37" s="2"/>
      <c r="BE37" s="2"/>
      <c r="BF37" s="2"/>
      <c r="BG37" s="2"/>
      <c r="BH37" s="2"/>
      <c r="BI37" s="2"/>
      <c r="BW37" s="2" t="s">
        <v>448</v>
      </c>
      <c r="BX37" s="2" t="s">
        <v>448</v>
      </c>
      <c r="BY37" s="2" t="s">
        <v>450</v>
      </c>
    </row>
    <row r="38" spans="1:77" x14ac:dyDescent="0.25">
      <c r="Q38" s="188"/>
      <c r="R38" s="190" t="s">
        <v>434</v>
      </c>
      <c r="S38" s="192"/>
      <c r="Y38" s="274"/>
      <c r="AM38" s="2" t="s">
        <v>423</v>
      </c>
      <c r="AN38" s="2"/>
      <c r="AO38" s="27">
        <f>AT27</f>
        <v>0</v>
      </c>
      <c r="AU38" s="274" t="s">
        <v>535</v>
      </c>
      <c r="AV38" s="274"/>
      <c r="AW38" s="274">
        <f>Rechnen!D31</f>
        <v>0</v>
      </c>
      <c r="AX38" s="274"/>
      <c r="AY38" s="274"/>
      <c r="AZ38" s="274"/>
      <c r="BA38" s="2"/>
      <c r="BE38" s="2"/>
      <c r="BF38" s="2"/>
      <c r="BG38" s="2">
        <f>IF(AND(MONTH(P33)=MONTH(BI38),MONTH(Q33)=MONTH(BI39)),BI39-P33,0)</f>
        <v>0</v>
      </c>
      <c r="BH38" s="2" t="s">
        <v>442</v>
      </c>
      <c r="BI38" s="28">
        <f>EDATE(BI39,-1)</f>
        <v>43070</v>
      </c>
      <c r="BJ38" s="28">
        <f>EDATE(BJ39,-1)</f>
        <v>43101</v>
      </c>
      <c r="BK38" s="2">
        <f>BJ38-BI38</f>
        <v>31</v>
      </c>
      <c r="BL38" s="27">
        <f>IF(BG38&gt;0,ROUND($BE$39/BK38*BG38*20,0)/20,0)</f>
        <v>0</v>
      </c>
      <c r="BM38" s="27"/>
      <c r="BN38" s="25">
        <f>IF(AND(P33&gt;0,Q33&gt;0,MONTH(P33)=MONTH(BQ38),MONTH(Q33)=MONTH(BQ39)),BQ39-P33,0)</f>
        <v>0</v>
      </c>
      <c r="BO38" s="2" t="s">
        <v>442</v>
      </c>
      <c r="BP38" s="27">
        <f>IF(AND(P33=0,Q33=0,BN38&lt;&gt;0),BM39,IF(BN38&gt;0,ROUND($BM$39/BS38*BN38*20,0)/20,0))</f>
        <v>0</v>
      </c>
      <c r="BQ38" s="28">
        <f t="shared" ref="BQ38:BR40" si="62">BI38</f>
        <v>43070</v>
      </c>
      <c r="BR38" s="28">
        <f t="shared" si="62"/>
        <v>43101</v>
      </c>
      <c r="BS38" s="2">
        <f>BR38-BQ38</f>
        <v>31</v>
      </c>
      <c r="BT38" s="76">
        <f>MONTH(BQ38)</f>
        <v>12</v>
      </c>
      <c r="BU38" s="2">
        <f>MONTH(BR38)</f>
        <v>1</v>
      </c>
      <c r="BV38" s="2"/>
    </row>
    <row r="39" spans="1:77" x14ac:dyDescent="0.25">
      <c r="B39" s="38" t="s">
        <v>64</v>
      </c>
      <c r="C39" s="31"/>
      <c r="D39" s="31"/>
      <c r="E39" s="277">
        <f>AV47</f>
        <v>0</v>
      </c>
      <c r="H39" s="31"/>
      <c r="I39" s="31"/>
      <c r="J39" s="31"/>
      <c r="K39" s="31"/>
      <c r="L39" s="31"/>
      <c r="M39" s="31"/>
      <c r="N39" s="31"/>
      <c r="O39" s="267">
        <f>IF(AND(AQ58=0,BG41&gt;0),BE39,0)</f>
        <v>0</v>
      </c>
      <c r="P39" s="96"/>
      <c r="Q39" s="179">
        <f ca="1">IF(BZ15=0,BE39,BZ15)</f>
        <v>0</v>
      </c>
      <c r="R39" s="186">
        <f ca="1">IF(AQ58=0,Q39,0)</f>
        <v>0</v>
      </c>
      <c r="S39" s="183"/>
      <c r="AM39" s="2" t="s">
        <v>278</v>
      </c>
      <c r="AN39" s="2"/>
      <c r="AO39" s="27">
        <f>AU27</f>
        <v>0</v>
      </c>
      <c r="AU39" s="274">
        <f>ROUND(AN41*$AW$38/100*20,0)/20</f>
        <v>0</v>
      </c>
      <c r="AV39" s="274">
        <f>ROUND(AO41*$AW$38/100*20,0)/20</f>
        <v>0</v>
      </c>
      <c r="AW39" s="274">
        <f>SUM(AU39:AV39)</f>
        <v>0</v>
      </c>
      <c r="AX39" s="274"/>
      <c r="AY39" s="274"/>
      <c r="AZ39" s="274"/>
      <c r="BA39" s="2"/>
      <c r="BE39" s="27">
        <f ca="1">IF(AND(BE61=0,AW38=0),AP41,IF(AND(AW38&gt;0,BE61=0),AW42,0))</f>
        <v>0</v>
      </c>
      <c r="BF39" s="27">
        <f>Erfassung!S37</f>
        <v>0</v>
      </c>
      <c r="BG39" s="2">
        <f>IF(AND(P33&gt;0,Q33&gt;0,MONTH(P33)=MONTH(Q33)),Q33-P33+1,IF(AND(MONTH(P33)=MONTH(BI38),MONTH(Q33)=MONTH(BI39)),Q33-BI39,IF(AND(MONTH(P33)=MONTH(BI39),MONTH(Q33)=MONTH(BI40)),BJ39-P33,0)))</f>
        <v>0</v>
      </c>
      <c r="BH39" s="2" t="s">
        <v>443</v>
      </c>
      <c r="BI39" s="28">
        <f>BE15</f>
        <v>43101</v>
      </c>
      <c r="BJ39" s="28">
        <f>BF15</f>
        <v>43132</v>
      </c>
      <c r="BK39" s="2">
        <f t="shared" ref="BK39:BK40" si="63">BJ39-BI39</f>
        <v>31</v>
      </c>
      <c r="BL39" s="27">
        <f>IF(BG39&gt;0,ROUND($BE$39/BK39*(BG39+1)*20,0)/20,0)</f>
        <v>0</v>
      </c>
      <c r="BM39" s="27">
        <f>AP45</f>
        <v>0</v>
      </c>
      <c r="BN39" s="25">
        <f>SUM(BW39:BY39)</f>
        <v>1</v>
      </c>
      <c r="BO39" s="2" t="s">
        <v>443</v>
      </c>
      <c r="BP39" s="27">
        <f>IF(AND(P33=0,Q33=0,BN39&lt;&gt;0),BM39,IF(BN39&gt;0,ROUND($BM$39/BS39*BN39*20,0)/20,0))</f>
        <v>0</v>
      </c>
      <c r="BQ39" s="28">
        <f t="shared" si="62"/>
        <v>43101</v>
      </c>
      <c r="BR39" s="28">
        <f t="shared" si="62"/>
        <v>43132</v>
      </c>
      <c r="BS39" s="2">
        <f t="shared" ref="BS39:BS40" si="64">BR39-BQ39</f>
        <v>31</v>
      </c>
      <c r="BT39" s="76">
        <f t="shared" ref="BT39:BT40" si="65">MONTH(BQ39)</f>
        <v>1</v>
      </c>
      <c r="BU39" s="2">
        <f t="shared" ref="BU39:BU40" si="66">MONTH(BR39)</f>
        <v>2</v>
      </c>
      <c r="BV39" s="2"/>
      <c r="BW39" s="2">
        <f>IF(AND(BQ35=BT39,BR35=BT39),Q33-P33+1,0)</f>
        <v>1</v>
      </c>
      <c r="BX39" s="2">
        <f>IF(AND(BQ35=BT38,BR35=BT39),BQ39-P33,0)</f>
        <v>0</v>
      </c>
      <c r="BY39" s="2">
        <f>IF(AND(BQ35=BT39,BR35=BT40),BR39-P33,0)</f>
        <v>0</v>
      </c>
    </row>
    <row r="40" spans="1:77" x14ac:dyDescent="0.25">
      <c r="I40" s="277">
        <f>IF(AQ58&lt;&gt;0,AN58,0)</f>
        <v>0</v>
      </c>
      <c r="Q40" s="178"/>
      <c r="R40" s="300"/>
      <c r="S40" s="184"/>
      <c r="AM40" s="2" t="s">
        <v>131</v>
      </c>
      <c r="AN40" s="2"/>
      <c r="AO40" s="27">
        <f>AV27</f>
        <v>0</v>
      </c>
      <c r="AU40" s="274"/>
      <c r="AV40" s="274"/>
      <c r="AW40" s="274"/>
      <c r="AX40" s="274"/>
      <c r="AY40" s="274"/>
      <c r="AZ40" s="274"/>
      <c r="BA40" s="2"/>
      <c r="BG40" s="2">
        <f>IF(AND(MONTH(P33)=MONTH(BI39),MONTH(Q33)=MONTH(BI40)),BJ39-P33,0)</f>
        <v>0</v>
      </c>
      <c r="BH40" s="2" t="s">
        <v>444</v>
      </c>
      <c r="BI40" s="28">
        <f>EDATE(BI39,1)</f>
        <v>43132</v>
      </c>
      <c r="BJ40" s="28">
        <f>EDATE(BJ39,1)</f>
        <v>43160</v>
      </c>
      <c r="BK40" s="2">
        <f t="shared" si="63"/>
        <v>28</v>
      </c>
      <c r="BL40" s="27">
        <f>IF(BG40&gt;0,ROUND($BE$39/BK40*BG40*20,0)/20,0)</f>
        <v>0</v>
      </c>
      <c r="BM40" s="27"/>
      <c r="BN40" s="25">
        <f>IF(AND(MONTH(P33)=MONTH(BQ39),MONTH(Q33)=MONTH(BR39)),BR39-P33,0)</f>
        <v>0</v>
      </c>
      <c r="BO40" s="2" t="s">
        <v>444</v>
      </c>
      <c r="BP40" s="27">
        <f>IF(AND(P33=0,Q33=0,BN40&lt;&gt;0),BM39,IF(BN40&gt;0,ROUND($BM$39/BS40*BN40*20,0)/20,0))</f>
        <v>0</v>
      </c>
      <c r="BQ40" s="28">
        <f t="shared" si="62"/>
        <v>43132</v>
      </c>
      <c r="BR40" s="28">
        <f t="shared" si="62"/>
        <v>43160</v>
      </c>
      <c r="BS40" s="2">
        <f t="shared" si="64"/>
        <v>28</v>
      </c>
      <c r="BT40" s="76">
        <f t="shared" si="65"/>
        <v>2</v>
      </c>
      <c r="BU40" s="2">
        <f t="shared" si="66"/>
        <v>3</v>
      </c>
      <c r="BV40" s="2"/>
    </row>
    <row r="41" spans="1:77" x14ac:dyDescent="0.25">
      <c r="B41" s="38" t="s">
        <v>431</v>
      </c>
      <c r="F41" s="31"/>
      <c r="G41" s="31"/>
      <c r="H41" s="31"/>
      <c r="I41" s="31"/>
      <c r="J41" s="31"/>
      <c r="K41" s="31"/>
      <c r="L41" s="31"/>
      <c r="M41" s="31"/>
      <c r="N41" s="31"/>
      <c r="O41" s="96"/>
      <c r="P41" s="96"/>
      <c r="Q41" s="179"/>
      <c r="R41" s="186"/>
      <c r="S41" s="182"/>
      <c r="Y41" s="274"/>
      <c r="AM41" s="2"/>
      <c r="AN41" s="168">
        <f>SUM(AN30:AN35,AN37:AN40)</f>
        <v>0</v>
      </c>
      <c r="AO41" s="168">
        <f>AX12-AN41</f>
        <v>0</v>
      </c>
      <c r="AP41" s="27">
        <f>SUM(AN41:AO41)</f>
        <v>0</v>
      </c>
      <c r="AR41" s="2" t="s">
        <v>64</v>
      </c>
      <c r="AU41" s="274"/>
      <c r="AV41" s="274"/>
      <c r="AW41" s="274"/>
      <c r="AX41" s="274"/>
      <c r="AY41" s="274"/>
      <c r="AZ41" s="274"/>
      <c r="BA41" s="2"/>
      <c r="BG41" s="2">
        <f>SUM(BG38:BG40)</f>
        <v>0</v>
      </c>
      <c r="BL41" s="27">
        <f>SUM(BL38:BL40)</f>
        <v>0</v>
      </c>
      <c r="BM41" s="27"/>
      <c r="BN41" s="2">
        <f>SUM(BN38:BN40)</f>
        <v>1</v>
      </c>
      <c r="BO41" s="274" t="s">
        <v>610</v>
      </c>
      <c r="BP41" s="27">
        <f>SUM(BP38:BP40)</f>
        <v>0</v>
      </c>
    </row>
    <row r="42" spans="1:77" x14ac:dyDescent="0.25">
      <c r="A42" s="273"/>
      <c r="B42" s="276" t="s">
        <v>107</v>
      </c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96"/>
      <c r="P42" s="96"/>
      <c r="Q42" s="179">
        <f ca="1">IF(P34=0,O14,0)</f>
        <v>0</v>
      </c>
      <c r="R42" s="186">
        <f ca="1">IF(T42=0,Q42,0)</f>
        <v>0</v>
      </c>
      <c r="S42" s="183">
        <f>IF(T42&lt;&gt;0,Q42,0)</f>
        <v>0</v>
      </c>
      <c r="T42" s="274">
        <f>Erfassung!R30</f>
        <v>0</v>
      </c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N42" s="274">
        <f>AU39*-1</f>
        <v>0</v>
      </c>
      <c r="AO42" s="274">
        <f>AV39*-1</f>
        <v>0</v>
      </c>
      <c r="AP42" s="274">
        <f>SUM(AN42:AO42)</f>
        <v>0</v>
      </c>
      <c r="AQ42" s="274"/>
      <c r="AR42" s="274" t="s">
        <v>536</v>
      </c>
      <c r="AU42" s="275">
        <f>AN41+AN42</f>
        <v>0</v>
      </c>
      <c r="AV42" s="275">
        <f t="shared" ref="AV42:AW42" si="67">AO41+AO42</f>
        <v>0</v>
      </c>
      <c r="AW42" s="275">
        <f t="shared" si="67"/>
        <v>0</v>
      </c>
      <c r="AX42" s="274"/>
      <c r="AY42" s="274"/>
      <c r="AZ42" s="274"/>
      <c r="BA42" s="2"/>
      <c r="BM42" s="27"/>
      <c r="BN42" s="27"/>
    </row>
    <row r="43" spans="1:77" x14ac:dyDescent="0.25">
      <c r="A43" s="273"/>
      <c r="B43" s="276" t="s">
        <v>31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96"/>
      <c r="P43" s="96"/>
      <c r="Q43" s="179">
        <f ca="1">IF(P34=0,P14,0)</f>
        <v>0</v>
      </c>
      <c r="R43" s="186">
        <f ca="1">IF(T43=0,Q43,0)</f>
        <v>0</v>
      </c>
      <c r="S43" s="183">
        <f>IF(T43&lt;&gt;0,Q43,0)</f>
        <v>0</v>
      </c>
      <c r="T43" s="274">
        <f>Erfassung!R31</f>
        <v>0</v>
      </c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N43" s="27">
        <f>AJ27</f>
        <v>0</v>
      </c>
      <c r="AO43" s="27">
        <f>AK27</f>
        <v>0</v>
      </c>
      <c r="AP43" s="27">
        <f>SUM(AN43:AO43)</f>
        <v>0</v>
      </c>
      <c r="AQ43" s="2"/>
      <c r="AR43" s="2" t="s">
        <v>428</v>
      </c>
      <c r="AU43" s="274"/>
      <c r="AV43" s="274"/>
      <c r="AW43" s="274"/>
      <c r="AX43" s="274"/>
      <c r="AY43" s="274"/>
      <c r="AZ43" s="274"/>
      <c r="BA43" s="2"/>
      <c r="BG43" s="2" t="s">
        <v>447</v>
      </c>
      <c r="BJ43" s="2">
        <f>IF(P33&gt;0,TEXT(P33,"tt.MM.jj"),0)</f>
        <v>0</v>
      </c>
      <c r="BL43" s="20">
        <f ca="1">IF(BG41=0,BE39,IF(BG41&gt;0,BO45,0))</f>
        <v>0</v>
      </c>
      <c r="BM43" s="28">
        <f>BH15</f>
        <v>43131</v>
      </c>
      <c r="BN43" s="25">
        <f>BM43-BJ43+1</f>
        <v>43132</v>
      </c>
      <c r="BO43" s="275">
        <f>IF(AND(BN43&gt;0,BN44&gt;0),ROUND(BE39/BK39*BN43*20,0)/20,0)</f>
        <v>0</v>
      </c>
      <c r="BP43" s="27">
        <f>IF(BN41=0,BM39,IF(BN41&gt;0,BP41,0))</f>
        <v>0</v>
      </c>
    </row>
    <row r="44" spans="1:77" x14ac:dyDescent="0.25">
      <c r="A44" s="273"/>
      <c r="B44" s="277" t="s">
        <v>143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96"/>
      <c r="P44" s="96"/>
      <c r="Q44" s="179"/>
      <c r="R44" s="186"/>
      <c r="S44" s="183"/>
      <c r="T44" s="274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N44" s="83">
        <f>SUM(AN41:AN43:AN43)</f>
        <v>0</v>
      </c>
      <c r="AO44" s="83">
        <f>SUM(AO41:AO43:AO43)</f>
        <v>0</v>
      </c>
      <c r="AP44" s="83">
        <f>SUM(AN44:AO44)</f>
        <v>0</v>
      </c>
      <c r="AQ44" s="27">
        <f ca="1">Unterstützung!I49</f>
        <v>0</v>
      </c>
      <c r="AR44" s="2"/>
      <c r="AS44" s="2" t="s">
        <v>457</v>
      </c>
      <c r="AU44" s="274"/>
      <c r="AV44" s="274"/>
      <c r="AW44" s="274"/>
      <c r="AX44" s="274"/>
      <c r="AY44" s="274"/>
      <c r="AZ44" s="274"/>
      <c r="BA44" s="2"/>
      <c r="BG44" s="2" t="s">
        <v>446</v>
      </c>
      <c r="BJ44" s="2">
        <f>IF(Q33&gt;0,TEXT(Q33,"tt.MM.jj"),0)</f>
        <v>0</v>
      </c>
      <c r="BM44" s="27"/>
      <c r="BN44" s="25">
        <f>IF(MONTH(P33)&lt;&gt;MONTH(Q33),BJ44-BM43,0)</f>
        <v>0</v>
      </c>
      <c r="BO44" s="275">
        <f>IF(AND(BN43&gt;0,BN44&gt;0),ROUND(BE39/BK40*BN44*20,0)/20,0)</f>
        <v>0</v>
      </c>
    </row>
    <row r="45" spans="1:77" x14ac:dyDescent="0.25">
      <c r="A45" s="273"/>
      <c r="B45" s="276" t="s">
        <v>144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96">
        <f ca="1">IF(P34=0,K14,0)</f>
        <v>0</v>
      </c>
      <c r="P45" s="96"/>
      <c r="Q45" s="179"/>
      <c r="R45" s="186"/>
      <c r="S45" s="183"/>
      <c r="T45" s="274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N45" s="27">
        <f>IF(AN41&gt;0,ROUND(AP45/AP41*AN41*20,0)/20,0)</f>
        <v>0</v>
      </c>
      <c r="AO45" s="27">
        <f>IF(AO41&gt;0,AP45-AN45,0)</f>
        <v>0</v>
      </c>
      <c r="AP45" s="27">
        <f>Einnahmen!W29</f>
        <v>0</v>
      </c>
      <c r="AR45" s="2" t="s">
        <v>272</v>
      </c>
      <c r="AS45" s="27">
        <f>Einnahmen!AI10</f>
        <v>0</v>
      </c>
      <c r="AU45" s="274" t="s">
        <v>534</v>
      </c>
      <c r="AV45" s="274"/>
      <c r="AW45" s="274"/>
      <c r="AX45" s="274"/>
      <c r="AY45" s="274"/>
      <c r="AZ45" s="274"/>
      <c r="BA45" s="2"/>
      <c r="BG45" s="2" t="str">
        <f>CONCATENATE(" = ",BJ44-BJ43+1," Tage")</f>
        <v xml:space="preserve"> = 1 Tage</v>
      </c>
      <c r="BH45" s="2"/>
      <c r="BI45" s="2"/>
      <c r="BJ45" s="2"/>
      <c r="BM45" s="27"/>
      <c r="BN45" s="27"/>
      <c r="BO45" s="275">
        <f>SUM(BO43:BO44)</f>
        <v>0</v>
      </c>
    </row>
    <row r="46" spans="1:77" x14ac:dyDescent="0.25">
      <c r="A46" s="273"/>
      <c r="B46" s="276" t="s">
        <v>145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96">
        <f>IF(AND(P34=0,L14&gt;0),L14*-1,0)</f>
        <v>0</v>
      </c>
      <c r="P46" s="96"/>
      <c r="Q46" s="179">
        <f ca="1">SUM(O45:O46)</f>
        <v>0</v>
      </c>
      <c r="R46" s="186">
        <f ca="1">IF(T46=0,Q46,0)</f>
        <v>0</v>
      </c>
      <c r="S46" s="183">
        <f>IF(T46&lt;&gt;0,Q46,0)</f>
        <v>0</v>
      </c>
      <c r="T46" s="274">
        <f>Erfassung!R29</f>
        <v>0</v>
      </c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N46" s="83">
        <f>AN44-AN45</f>
        <v>0</v>
      </c>
      <c r="AO46" s="83">
        <f>AO44-AO45</f>
        <v>0</v>
      </c>
      <c r="AP46" s="83">
        <f>AP44-AP45</f>
        <v>0</v>
      </c>
      <c r="AQ46" s="27">
        <f ca="1">Unterstützung!I58</f>
        <v>0</v>
      </c>
      <c r="AR46" s="170"/>
      <c r="AU46" s="274">
        <f>Rechnen!N51</f>
        <v>0</v>
      </c>
      <c r="AV46" s="274" t="s">
        <v>537</v>
      </c>
      <c r="AW46" s="274"/>
      <c r="AX46" s="274"/>
      <c r="AY46" s="274"/>
      <c r="AZ46" s="274"/>
      <c r="BA46" s="2"/>
      <c r="BG46" s="2" t="str">
        <f>IF(BG35&gt;0,CONCATENATE(BG43,BJ43,BG44,BJ44,BG45),0)</f>
        <v>Teilzahlung vom 0 bis und mit 0 = 1 Tage</v>
      </c>
      <c r="BM46" s="27"/>
      <c r="BN46" s="27"/>
      <c r="BQ46" s="2">
        <f>BQ35</f>
        <v>1</v>
      </c>
      <c r="BR46" s="2">
        <f>BR35</f>
        <v>1</v>
      </c>
    </row>
    <row r="47" spans="1:77" x14ac:dyDescent="0.25">
      <c r="A47" s="273"/>
      <c r="B47" s="277">
        <f>IF(M14&gt;0,AR35,0)</f>
        <v>0</v>
      </c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170"/>
      <c r="P47" s="170"/>
      <c r="Q47" s="179">
        <f>BL52</f>
        <v>0</v>
      </c>
      <c r="R47" s="186">
        <f>Q47</f>
        <v>0</v>
      </c>
      <c r="S47" s="183"/>
      <c r="T47" s="273">
        <f>IF(OR(T42&lt;&gt;0,T43&lt;&gt;0,T46&lt;&gt;0),1,0)</f>
        <v>0</v>
      </c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N47" s="2"/>
      <c r="AO47" s="2"/>
      <c r="AP47" s="2"/>
      <c r="AU47" s="274"/>
      <c r="AV47" s="274">
        <f>IF(AW38&lt;&gt;0,CONCATENATE(AU45,AU46,AV46,TEXT(AP41,"#'###.00")," = Fr. ",TEXT(AW39,"#'###.00")),0)</f>
        <v>0</v>
      </c>
      <c r="AW47" s="274"/>
      <c r="AX47" s="274"/>
      <c r="AY47" s="274"/>
      <c r="AZ47" s="274"/>
      <c r="BA47" s="2"/>
      <c r="BQ47" s="2"/>
      <c r="BR47" s="2"/>
      <c r="BW47" s="2"/>
      <c r="BX47" s="2"/>
      <c r="BY47" s="2"/>
    </row>
    <row r="48" spans="1:77" x14ac:dyDescent="0.25">
      <c r="A48" s="273"/>
      <c r="B48" s="277">
        <f ca="1">IF(Q14&gt;0,CONCATENATE(AR31," ",AR32),0)</f>
        <v>0</v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96"/>
      <c r="P48" s="96"/>
      <c r="Q48" s="179">
        <f ca="1">BL58</f>
        <v>0</v>
      </c>
      <c r="R48" s="186">
        <f ca="1">Q48</f>
        <v>0</v>
      </c>
      <c r="S48" s="18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N48" s="2">
        <f>IF(AP41&gt;0,ROUND(AP48/AP41*AN41*20,0)/20,0)</f>
        <v>0</v>
      </c>
      <c r="AO48" s="2">
        <f ca="1">AP48-AN48</f>
        <v>0</v>
      </c>
      <c r="AP48" s="27">
        <f ca="1">IF(BZ15=0,BE39,BZ15)</f>
        <v>0</v>
      </c>
      <c r="AU48" s="274"/>
      <c r="AV48" s="274"/>
      <c r="AW48" s="274"/>
      <c r="AX48" s="274"/>
      <c r="AY48" s="274"/>
      <c r="AZ48" s="274"/>
      <c r="BA48" s="2"/>
      <c r="BG48" s="2">
        <f>BG38</f>
        <v>0</v>
      </c>
      <c r="BH48" s="2" t="str">
        <f t="shared" ref="BH48:BK48" si="68">BH38</f>
        <v>Vormonat</v>
      </c>
      <c r="BI48" s="28">
        <f t="shared" si="68"/>
        <v>43070</v>
      </c>
      <c r="BJ48" s="28">
        <f t="shared" si="68"/>
        <v>43101</v>
      </c>
      <c r="BK48" s="2">
        <f t="shared" si="68"/>
        <v>31</v>
      </c>
      <c r="BL48" s="27">
        <f>IF(BG48&gt;0,ROUND($BE$48/BK48*BG48*20,0)/20,0)</f>
        <v>0</v>
      </c>
      <c r="BN48" s="25">
        <f>IF(AND(P33&gt;0,Q33&gt;0,MONTH(P33)=MONTH(BQ48),MONTH(Q33)=MONTH(BQ49)),BQ49-P33,0)</f>
        <v>0</v>
      </c>
      <c r="BO48" s="2" t="s">
        <v>442</v>
      </c>
      <c r="BP48" s="27">
        <f>IF(BN48&gt;0,ROUND($BM$49/BS48*BN48*20,0)/20,0)</f>
        <v>0</v>
      </c>
      <c r="BQ48" s="28">
        <f t="shared" ref="BQ48:BQ50" si="69">BI48</f>
        <v>43070</v>
      </c>
      <c r="BR48" s="28">
        <f t="shared" ref="BR48:BR50" si="70">BJ48</f>
        <v>43101</v>
      </c>
      <c r="BS48" s="2">
        <f>BR48-BQ48</f>
        <v>31</v>
      </c>
      <c r="BT48" s="76">
        <f>MONTH(BQ48)</f>
        <v>12</v>
      </c>
      <c r="BU48" s="2">
        <f>MONTH(BR48)</f>
        <v>1</v>
      </c>
      <c r="BV48" s="2"/>
    </row>
    <row r="49" spans="1:77" x14ac:dyDescent="0.25">
      <c r="A49" s="273"/>
      <c r="B49" s="277">
        <f ca="1">IF(R14&gt;0,AR34,0)</f>
        <v>0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96"/>
      <c r="P49" s="96"/>
      <c r="Q49" s="179">
        <f ca="1">BL64</f>
        <v>0</v>
      </c>
      <c r="R49" s="186">
        <f ca="1">IF(AQ58=0,Q49,0)</f>
        <v>0</v>
      </c>
      <c r="S49" s="18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N49" s="27">
        <f>IF(AP41&gt;0,ROUND(AP49/AP41*AN41*20,0)/20,0)</f>
        <v>0</v>
      </c>
      <c r="AO49" s="27">
        <f ca="1">AP49-AN49</f>
        <v>0</v>
      </c>
      <c r="AP49" s="171">
        <f ca="1">SUM(R42:R43)+R46</f>
        <v>0</v>
      </c>
      <c r="AW49" s="2"/>
      <c r="AX49" s="2"/>
      <c r="AY49" s="2"/>
      <c r="AZ49" s="2"/>
      <c r="BA49" s="2"/>
      <c r="BE49" s="27">
        <f>M14</f>
        <v>0</v>
      </c>
      <c r="BG49" s="2">
        <f t="shared" ref="BG49:BK50" si="71">BG39</f>
        <v>0</v>
      </c>
      <c r="BH49" s="2" t="str">
        <f t="shared" si="71"/>
        <v>Lfd Monat</v>
      </c>
      <c r="BI49" s="28">
        <f t="shared" si="71"/>
        <v>43101</v>
      </c>
      <c r="BJ49" s="28">
        <f t="shared" si="71"/>
        <v>43132</v>
      </c>
      <c r="BK49" s="2">
        <f t="shared" si="71"/>
        <v>31</v>
      </c>
      <c r="BL49" s="27">
        <f>IF(BG49&gt;0,ROUND($BE$49/BK49*BG49*20,0)/20,0)</f>
        <v>0</v>
      </c>
      <c r="BM49" s="27">
        <f>AS45</f>
        <v>0</v>
      </c>
      <c r="BN49" s="25">
        <f>SUM(BW49:BY49)</f>
        <v>1</v>
      </c>
      <c r="BO49" s="2" t="s">
        <v>443</v>
      </c>
      <c r="BP49" s="27">
        <f>IF(BN49&gt;0,ROUND($BM$49/BS49*BN49*20,0)/20,0)</f>
        <v>0</v>
      </c>
      <c r="BQ49" s="28">
        <f t="shared" si="69"/>
        <v>43101</v>
      </c>
      <c r="BR49" s="28">
        <f t="shared" si="70"/>
        <v>43132</v>
      </c>
      <c r="BS49" s="2">
        <f t="shared" ref="BS49:BS50" si="72">BR49-BQ49</f>
        <v>31</v>
      </c>
      <c r="BT49" s="76">
        <f t="shared" ref="BT49:BT50" si="73">MONTH(BQ49)</f>
        <v>1</v>
      </c>
      <c r="BU49" s="2">
        <f t="shared" ref="BU49:BU50" si="74">MONTH(BR49)</f>
        <v>2</v>
      </c>
      <c r="BV49" s="2"/>
      <c r="BW49" s="2">
        <f>IF(AND(BQ46=BT49,BR46=BT49),Q33-P33+1,0)</f>
        <v>1</v>
      </c>
      <c r="BX49" s="2">
        <f>IF(AND(BQ46=BT48,BR46=BT49),BQ49-P33,0)</f>
        <v>0</v>
      </c>
      <c r="BY49" s="2">
        <f>IF(AND(BQ46=BT49,BR46=BT50),BR49-P33,0)</f>
        <v>0</v>
      </c>
    </row>
    <row r="50" spans="1:77" x14ac:dyDescent="0.25">
      <c r="A50" s="273"/>
      <c r="B50" s="277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179"/>
      <c r="R50" s="187"/>
      <c r="S50" s="184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N50" s="2">
        <f>IF(AP41&gt;0,ROUND(AP50/AP41*AN41*20,0)/20,0)</f>
        <v>0</v>
      </c>
      <c r="AO50" s="27">
        <f ca="1">AP50-AN50</f>
        <v>0</v>
      </c>
      <c r="AP50" s="27">
        <f ca="1">SUM(R47:R49)</f>
        <v>0</v>
      </c>
      <c r="AW50" s="2"/>
      <c r="AX50" s="2"/>
      <c r="AY50" s="2"/>
      <c r="AZ50" s="2"/>
      <c r="BA50" s="2"/>
      <c r="BG50" s="2">
        <f t="shared" si="71"/>
        <v>0</v>
      </c>
      <c r="BH50" s="2" t="str">
        <f t="shared" si="71"/>
        <v>Folgemonat</v>
      </c>
      <c r="BI50" s="28">
        <f t="shared" si="71"/>
        <v>43132</v>
      </c>
      <c r="BJ50" s="28">
        <f t="shared" si="71"/>
        <v>43160</v>
      </c>
      <c r="BK50" s="2">
        <f t="shared" si="71"/>
        <v>28</v>
      </c>
      <c r="BL50" s="27">
        <f>IF(BG50&gt;0,ROUND($BE$49/BK50*BG50*20,0)/20,0)</f>
        <v>0</v>
      </c>
      <c r="BN50" s="25">
        <f>IF(AND(MONTH(P33)=MONTH(BQ49),MONTH(Q33)=MONTH(BR49)),BR49-P33,0)</f>
        <v>0</v>
      </c>
      <c r="BO50" s="2" t="s">
        <v>444</v>
      </c>
      <c r="BP50" s="27">
        <f>IF(BN50&gt;0,ROUND($BM$49/BS50*BN50*20,0)/20,0)</f>
        <v>0</v>
      </c>
      <c r="BQ50" s="28">
        <f t="shared" si="69"/>
        <v>43132</v>
      </c>
      <c r="BR50" s="28">
        <f t="shared" si="70"/>
        <v>43160</v>
      </c>
      <c r="BS50" s="2">
        <f t="shared" si="72"/>
        <v>28</v>
      </c>
      <c r="BT50" s="76">
        <f t="shared" si="73"/>
        <v>2</v>
      </c>
      <c r="BU50" s="2">
        <f t="shared" si="74"/>
        <v>3</v>
      </c>
      <c r="BV50" s="2"/>
    </row>
    <row r="51" spans="1:77" x14ac:dyDescent="0.25">
      <c r="A51" s="273"/>
      <c r="B51" s="277" t="s">
        <v>437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179">
        <f ca="1">SUM(Q39:Q49)</f>
        <v>0</v>
      </c>
      <c r="R51" s="186">
        <f ca="1">SUM(R39:R49)</f>
        <v>0</v>
      </c>
      <c r="S51" s="183">
        <f>SUM(S39:S49)</f>
        <v>0</v>
      </c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N51" s="44">
        <f t="shared" ref="AN51:AO51" si="75">SUM(AN48:AN50)</f>
        <v>0</v>
      </c>
      <c r="AO51" s="44">
        <f t="shared" ca="1" si="75"/>
        <v>0</v>
      </c>
      <c r="AP51" s="44">
        <f ca="1">SUM(AP48:AP50)</f>
        <v>0</v>
      </c>
      <c r="AQ51" s="44">
        <f ca="1">AN51+AO51</f>
        <v>0</v>
      </c>
      <c r="AW51" s="2"/>
      <c r="AX51" s="2"/>
      <c r="AY51" s="2"/>
      <c r="AZ51" s="2"/>
      <c r="BA51" s="2"/>
      <c r="BG51" s="2">
        <f>SUM(BG48:BG50)</f>
        <v>0</v>
      </c>
      <c r="BL51" s="27">
        <f>SUM(BL48:BL50)</f>
        <v>0</v>
      </c>
      <c r="BN51" s="2">
        <f>SUM(BN48:BN50)</f>
        <v>1</v>
      </c>
      <c r="BO51" s="2"/>
      <c r="BP51" s="27">
        <f>SUM(BP48:BP50)</f>
        <v>0</v>
      </c>
      <c r="BQ51" s="28"/>
      <c r="BR51" s="28"/>
      <c r="BS51" s="2"/>
      <c r="BT51" s="76"/>
      <c r="BU51" s="2"/>
      <c r="BV51" s="2"/>
    </row>
    <row r="52" spans="1:77" x14ac:dyDescent="0.25">
      <c r="A52" s="273"/>
      <c r="B52" s="277" t="s">
        <v>272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179">
        <f>BP43</f>
        <v>0</v>
      </c>
      <c r="R52" s="186">
        <f>IF(T52=0,Q52,0)</f>
        <v>0</v>
      </c>
      <c r="S52" s="183">
        <f ca="1">IF(AND(Q55&lt;=0,T52&lt;&gt;0,T47=1),BM39,0)</f>
        <v>0</v>
      </c>
      <c r="T52" s="274" t="str">
        <f>Einnahmen!O8</f>
        <v>18ldw27bth</v>
      </c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N52" s="27">
        <f>IF(AP41&gt;0,ROUND(AP52/AP41*AN41*20,0)/20,0)</f>
        <v>0</v>
      </c>
      <c r="AO52" s="27">
        <f>AP52-AN52</f>
        <v>0</v>
      </c>
      <c r="AP52" s="27">
        <f>IF(T52=0,BP43,0)</f>
        <v>0</v>
      </c>
      <c r="AW52" s="2"/>
      <c r="AX52" s="2"/>
      <c r="AY52" s="2"/>
      <c r="AZ52" s="2"/>
      <c r="BA52" s="2"/>
      <c r="BE52" s="2"/>
      <c r="BL52" s="76">
        <f>IF(BG51=0,BE49,BL51)</f>
        <v>0</v>
      </c>
    </row>
    <row r="53" spans="1:77" x14ac:dyDescent="0.25">
      <c r="A53" s="273"/>
      <c r="B53" s="277" t="s">
        <v>441</v>
      </c>
      <c r="C53" s="273"/>
      <c r="D53" s="273"/>
      <c r="E53" s="273"/>
      <c r="F53" s="273"/>
      <c r="G53" s="273"/>
      <c r="H53" s="273"/>
      <c r="I53" s="273"/>
      <c r="J53" s="277">
        <f>IF(Erfassung!Q37&lt;&gt;0,Erfassung!Q37,0)</f>
        <v>0</v>
      </c>
      <c r="K53" s="273"/>
      <c r="L53" s="273"/>
      <c r="M53" s="273"/>
      <c r="N53" s="273"/>
      <c r="O53" s="273"/>
      <c r="P53" s="273"/>
      <c r="Q53" s="179">
        <f>BL70</f>
        <v>0</v>
      </c>
      <c r="R53" s="186">
        <f>Q53</f>
        <v>0</v>
      </c>
      <c r="S53" s="185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N53" s="27">
        <f>IF(AP41&gt;0,ROUND(AP53/AP41*AN41*20,0)/20,0)</f>
        <v>0</v>
      </c>
      <c r="AO53" s="27">
        <f>AP53-AN53</f>
        <v>0</v>
      </c>
      <c r="AP53" s="27">
        <f>BE67</f>
        <v>0</v>
      </c>
      <c r="AW53" s="2"/>
      <c r="AX53" s="2"/>
      <c r="AY53" s="2"/>
      <c r="AZ53" s="2"/>
      <c r="BA53" s="2"/>
      <c r="BP53" s="27">
        <f>IF(BN51=0,BM49,IF(BN51&gt;0,BP51,0))</f>
        <v>0</v>
      </c>
    </row>
    <row r="54" spans="1:77" x14ac:dyDescent="0.25">
      <c r="A54" s="273"/>
      <c r="B54" s="276"/>
      <c r="C54" s="276"/>
      <c r="D54" s="276"/>
      <c r="E54" s="276"/>
      <c r="F54" s="276"/>
      <c r="G54" s="276"/>
      <c r="H54" s="276"/>
      <c r="I54" s="276"/>
      <c r="J54" s="273"/>
      <c r="K54" s="276"/>
      <c r="L54" s="276"/>
      <c r="M54" s="276"/>
      <c r="N54" s="276"/>
      <c r="O54" s="276"/>
      <c r="P54" s="276"/>
      <c r="Q54" s="180"/>
      <c r="R54" s="134"/>
      <c r="S54" s="182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N54" s="27">
        <f ca="1">IF(AP48&gt;0,ROUND(AP54/AP48*AN48*20,0)/20,0)</f>
        <v>0</v>
      </c>
      <c r="AO54" s="27">
        <f ca="1">AP54-AN54</f>
        <v>0</v>
      </c>
      <c r="AP54" s="27">
        <f>BM49</f>
        <v>0</v>
      </c>
      <c r="AW54" s="2"/>
      <c r="AX54" s="2"/>
      <c r="AY54" s="2"/>
      <c r="AZ54" s="2"/>
      <c r="BA54" s="2"/>
      <c r="BG54" s="2">
        <f>BG48</f>
        <v>0</v>
      </c>
      <c r="BH54" s="2" t="str">
        <f>BH48</f>
        <v>Vormonat</v>
      </c>
      <c r="BI54" s="28">
        <f t="shared" ref="BI54:BK54" si="76">BI48</f>
        <v>43070</v>
      </c>
      <c r="BJ54" s="28">
        <f t="shared" si="76"/>
        <v>43101</v>
      </c>
      <c r="BK54" s="2">
        <f t="shared" si="76"/>
        <v>31</v>
      </c>
      <c r="BL54" s="27">
        <f>IF(BG54&gt;0,ROUND($BE$55/BK54*BG54*20,0)/20,0)</f>
        <v>0</v>
      </c>
    </row>
    <row r="55" spans="1:77" ht="20.25" customHeight="1" x14ac:dyDescent="0.25">
      <c r="A55" s="273"/>
      <c r="B55" s="277" t="s">
        <v>436</v>
      </c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181">
        <f ca="1">Q51-Q52</f>
        <v>0</v>
      </c>
      <c r="R55" s="186">
        <f ca="1">IF(Q55&gt;0,R51-R52-R53,0)</f>
        <v>0</v>
      </c>
      <c r="S55" s="182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N55" s="44">
        <f ca="1">AN51-AN52-AN53-AN54</f>
        <v>0</v>
      </c>
      <c r="AO55" s="44">
        <f ca="1">AO51-AO52-AO53-AO54</f>
        <v>0</v>
      </c>
      <c r="AP55" s="44">
        <f ca="1">AP51-AP52-AP53-AP54</f>
        <v>0</v>
      </c>
      <c r="AQ55" s="44">
        <f ca="1">AN55+AO55</f>
        <v>0</v>
      </c>
      <c r="AW55" s="2"/>
      <c r="AX55" s="2"/>
      <c r="AY55" s="2"/>
      <c r="AZ55" s="2"/>
      <c r="BA55" s="2"/>
      <c r="BE55" s="27">
        <f ca="1">Q14</f>
        <v>0</v>
      </c>
      <c r="BG55" s="2">
        <f t="shared" ref="BG55:BK57" si="77">BG49</f>
        <v>0</v>
      </c>
      <c r="BH55" s="2" t="str">
        <f t="shared" si="77"/>
        <v>Lfd Monat</v>
      </c>
      <c r="BI55" s="28">
        <f t="shared" si="77"/>
        <v>43101</v>
      </c>
      <c r="BJ55" s="28">
        <f t="shared" si="77"/>
        <v>43132</v>
      </c>
      <c r="BK55" s="2">
        <f t="shared" si="77"/>
        <v>31</v>
      </c>
      <c r="BL55" s="27">
        <f t="shared" ref="BL55:BL56" si="78">IF(BG55&gt;0,ROUND($BE$55/BK55*BG55*20,0)/20,0)</f>
        <v>0</v>
      </c>
    </row>
    <row r="56" spans="1:77" ht="15" customHeight="1" x14ac:dyDescent="0.25">
      <c r="A56" s="273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76"/>
      <c r="Q56" s="276"/>
      <c r="R56" s="276"/>
      <c r="S56" s="276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N56" s="27"/>
      <c r="AO56" s="27"/>
      <c r="AP56" s="27"/>
      <c r="AQ56" s="27">
        <f ca="1">IF(AND(Q55&lt;0,AQ55&lt;&gt;T74),Q55-AP54,0)</f>
        <v>0</v>
      </c>
      <c r="AW56" s="2"/>
      <c r="AX56" s="2"/>
      <c r="AY56" s="2"/>
      <c r="AZ56" s="2"/>
      <c r="BA56" s="2"/>
      <c r="BE56" s="27"/>
      <c r="BG56" s="2">
        <f t="shared" si="77"/>
        <v>0</v>
      </c>
      <c r="BH56" s="2" t="str">
        <f t="shared" si="77"/>
        <v>Folgemonat</v>
      </c>
      <c r="BI56" s="28">
        <f t="shared" si="77"/>
        <v>43132</v>
      </c>
      <c r="BJ56" s="28">
        <f t="shared" si="77"/>
        <v>43160</v>
      </c>
      <c r="BK56" s="2">
        <f t="shared" si="77"/>
        <v>28</v>
      </c>
      <c r="BL56" s="27">
        <f t="shared" si="78"/>
        <v>0</v>
      </c>
    </row>
    <row r="57" spans="1:77" ht="14.25" customHeight="1" x14ac:dyDescent="0.25">
      <c r="A57" s="273"/>
      <c r="B57" s="273"/>
      <c r="C57" s="273"/>
      <c r="D57" s="273"/>
      <c r="E57" s="273"/>
      <c r="F57" s="273"/>
      <c r="G57" s="273"/>
      <c r="H57" s="273"/>
      <c r="I57" s="273"/>
      <c r="J57" s="273"/>
      <c r="K57" s="276"/>
      <c r="L57" s="276"/>
      <c r="M57" s="276"/>
      <c r="N57" s="276"/>
      <c r="O57" s="276"/>
      <c r="P57" s="276"/>
      <c r="Q57" s="276"/>
      <c r="R57" s="279" t="s">
        <v>451</v>
      </c>
      <c r="S57" s="172" t="s">
        <v>452</v>
      </c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N57" s="44">
        <f>IF(AP41&gt;0,ROUND(AQ57/AP41*AN41*20,0)/20,0)</f>
        <v>0</v>
      </c>
      <c r="AO57" s="44">
        <f ca="1">IF(AP51&gt;0,AQ57-AN57,0)</f>
        <v>0</v>
      </c>
      <c r="AP57" s="44">
        <f ca="1">AN57+AO57</f>
        <v>0</v>
      </c>
      <c r="AQ57" s="27">
        <f ca="1">AQ55-AQ56</f>
        <v>0</v>
      </c>
      <c r="AW57" s="2"/>
      <c r="AX57" s="2"/>
      <c r="AY57" s="2"/>
      <c r="AZ57" s="2"/>
      <c r="BA57" s="2"/>
      <c r="BE57" s="27"/>
      <c r="BG57" s="2">
        <f t="shared" si="77"/>
        <v>0</v>
      </c>
      <c r="BH57" s="2"/>
      <c r="BI57" s="2"/>
      <c r="BJ57" s="2"/>
      <c r="BL57" s="27">
        <f>SUM(BL54:BL56)</f>
        <v>0</v>
      </c>
    </row>
    <row r="58" spans="1:77" x14ac:dyDescent="0.25">
      <c r="A58" s="273"/>
      <c r="B58" s="276"/>
      <c r="C58" s="273"/>
      <c r="D58" s="273"/>
      <c r="E58" s="273"/>
      <c r="F58" s="273"/>
      <c r="G58" s="273"/>
      <c r="H58" s="273"/>
      <c r="I58" s="273"/>
      <c r="J58" s="273"/>
      <c r="K58" s="276"/>
      <c r="L58" s="276"/>
      <c r="M58" s="276"/>
      <c r="N58" s="276"/>
      <c r="O58" s="276"/>
      <c r="P58" s="276"/>
      <c r="Q58" s="276"/>
      <c r="R58" s="173"/>
      <c r="S58" s="100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N58" s="2" t="s">
        <v>584</v>
      </c>
      <c r="AO58" s="2"/>
      <c r="AP58" s="2"/>
      <c r="AQ58" s="2">
        <f>Erfassung!R27</f>
        <v>0</v>
      </c>
      <c r="AR58" s="2"/>
      <c r="AS58" s="2"/>
      <c r="BE58" s="27"/>
      <c r="BL58" s="76">
        <f ca="1">IF(BG57=0,BE55,BL57)</f>
        <v>0</v>
      </c>
    </row>
    <row r="59" spans="1:77" x14ac:dyDescent="0.25">
      <c r="A59" s="273"/>
      <c r="B59" s="276" t="s">
        <v>271</v>
      </c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82">
        <f ca="1">IF(U10&gt;0,U69,0)</f>
        <v>0</v>
      </c>
      <c r="S59" s="281"/>
      <c r="T59" s="170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N59" s="2" t="s">
        <v>64</v>
      </c>
      <c r="AO59" s="2"/>
      <c r="AP59" s="2"/>
      <c r="AQ59" s="2"/>
      <c r="AR59" s="2"/>
      <c r="AS59" s="2"/>
      <c r="BE59" s="27"/>
    </row>
    <row r="60" spans="1:77" x14ac:dyDescent="0.25">
      <c r="A60" s="273"/>
      <c r="B60" s="276" t="s">
        <v>576</v>
      </c>
      <c r="C60" s="273"/>
      <c r="D60" s="273"/>
      <c r="E60" s="276">
        <f ca="1">IF(R80&gt;0,AN74,IF(AND(Q55&gt;0,Q52&gt;0,T52&lt;&gt;0,T47=1),AN74,0))</f>
        <v>0</v>
      </c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82">
        <f ca="1">IF(AND(U10&gt;0,U70&gt;0),U70,0)</f>
        <v>0</v>
      </c>
      <c r="S60" s="281">
        <f ca="1">IF(U10&gt;0,V69,0)</f>
        <v>0</v>
      </c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N60" s="2"/>
      <c r="AO60" s="2"/>
      <c r="AP60" s="2"/>
      <c r="AQ60" s="2"/>
      <c r="AR60" s="2"/>
      <c r="AS60" s="2"/>
      <c r="BE60" s="27"/>
      <c r="BG60" s="2">
        <f>BG54</f>
        <v>0</v>
      </c>
      <c r="BH60" s="2" t="str">
        <f>BH54</f>
        <v>Vormonat</v>
      </c>
      <c r="BI60" s="28">
        <f t="shared" ref="BI60:BK60" si="79">BI54</f>
        <v>43070</v>
      </c>
      <c r="BJ60" s="28">
        <f t="shared" si="79"/>
        <v>43101</v>
      </c>
      <c r="BK60" s="2">
        <f t="shared" si="79"/>
        <v>31</v>
      </c>
      <c r="BL60" s="27">
        <f>IF(BG60&gt;0,ROUND($BE$61/BK60*BG60*20,0)/20,0)</f>
        <v>0</v>
      </c>
    </row>
    <row r="61" spans="1:77" x14ac:dyDescent="0.25">
      <c r="A61" s="273"/>
      <c r="B61" s="276" t="s">
        <v>577</v>
      </c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82"/>
      <c r="S61" s="281">
        <f ca="1">IF(U10&gt;0,SUM(T69:T80),0)</f>
        <v>0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BE61" s="27">
        <f ca="1">R14</f>
        <v>0</v>
      </c>
      <c r="BG61" s="2">
        <f t="shared" ref="BG61:BK61" si="80">BG55</f>
        <v>0</v>
      </c>
      <c r="BH61" s="2" t="str">
        <f t="shared" si="80"/>
        <v>Lfd Monat</v>
      </c>
      <c r="BI61" s="28">
        <f t="shared" si="80"/>
        <v>43101</v>
      </c>
      <c r="BJ61" s="28">
        <f t="shared" si="80"/>
        <v>43132</v>
      </c>
      <c r="BK61" s="2">
        <f t="shared" si="80"/>
        <v>31</v>
      </c>
      <c r="BL61" s="27">
        <f t="shared" ref="BL61:BL62" si="81">IF(BG61&gt;0,ROUND($BE$61/BK61*BG61*20,0)/20,0)</f>
        <v>0</v>
      </c>
    </row>
    <row r="62" spans="1:77" x14ac:dyDescent="0.25">
      <c r="A62" s="273"/>
      <c r="B62" s="276">
        <f ca="1">IF(AND(R55&gt;0,Y62&lt;&gt;0),AD62,0)</f>
        <v>0</v>
      </c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178"/>
      <c r="S62" s="281">
        <f ca="1">IF(AND(R55&gt;0,Y62&lt;&gt;0),AS45,0)</f>
        <v>0</v>
      </c>
      <c r="T62" s="273"/>
      <c r="U62" s="273"/>
      <c r="V62" s="273"/>
      <c r="W62" s="273"/>
      <c r="X62" s="273"/>
      <c r="Y62" s="273" t="str">
        <f>Einnahmen!O8</f>
        <v>18ldw27bth</v>
      </c>
      <c r="Z62" s="274" t="s">
        <v>611</v>
      </c>
      <c r="AA62" s="273"/>
      <c r="AB62" s="273"/>
      <c r="AC62" s="273"/>
      <c r="AD62" s="273" t="s">
        <v>612</v>
      </c>
      <c r="AE62" s="273"/>
      <c r="AF62" s="273"/>
      <c r="AG62" s="273"/>
      <c r="AH62" s="273"/>
      <c r="AI62" s="273"/>
      <c r="AJ62" s="273"/>
      <c r="AK62" s="273"/>
      <c r="AL62" s="273"/>
      <c r="BE62" s="27"/>
      <c r="BG62" s="2">
        <f t="shared" ref="BG62:BK62" si="82">BG56</f>
        <v>0</v>
      </c>
      <c r="BH62" s="2" t="str">
        <f t="shared" si="82"/>
        <v>Folgemonat</v>
      </c>
      <c r="BI62" s="28">
        <f t="shared" si="82"/>
        <v>43132</v>
      </c>
      <c r="BJ62" s="28">
        <f t="shared" si="82"/>
        <v>43160</v>
      </c>
      <c r="BK62" s="2">
        <f t="shared" si="82"/>
        <v>28</v>
      </c>
      <c r="BL62" s="27">
        <f t="shared" si="81"/>
        <v>0</v>
      </c>
    </row>
    <row r="63" spans="1:77" hidden="1" x14ac:dyDescent="0.25">
      <c r="A63" s="273"/>
      <c r="B63" s="276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82"/>
      <c r="S63" s="281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BE63" s="27"/>
      <c r="BG63" s="2">
        <f t="shared" ref="BG63" si="83">BG57</f>
        <v>0</v>
      </c>
      <c r="BH63" s="2"/>
      <c r="BI63" s="2"/>
      <c r="BJ63" s="2"/>
      <c r="BL63" s="27">
        <f>SUM(BL60:BL62)</f>
        <v>0</v>
      </c>
    </row>
    <row r="64" spans="1:77" x14ac:dyDescent="0.25">
      <c r="A64" s="273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68">
        <f ca="1">SUM(R59:R63)</f>
        <v>0</v>
      </c>
      <c r="S64" s="269">
        <f ca="1">SUM(S59:S63)</f>
        <v>0</v>
      </c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N64" t="s">
        <v>466</v>
      </c>
      <c r="AQ64" t="s">
        <v>467</v>
      </c>
      <c r="BE64" s="27"/>
      <c r="BL64" s="76">
        <f ca="1">IF(BG63=0,BE61,BL63)</f>
        <v>0</v>
      </c>
    </row>
    <row r="65" spans="1:64" x14ac:dyDescent="0.25">
      <c r="A65" s="273"/>
      <c r="B65" s="276">
        <f ca="1">IF(S65&gt;0,BH32,IF(R65&gt;0,BJ32,0))</f>
        <v>0</v>
      </c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195">
        <f ca="1">IF(AND(U10&gt;0,S64&gt;R64),S64-R64,0)</f>
        <v>0</v>
      </c>
      <c r="S65" s="194">
        <f ca="1">IF(AND(U10&gt;0,R64&gt;S64),R64-S64,0)</f>
        <v>0</v>
      </c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N65" s="2">
        <v>3637</v>
      </c>
      <c r="AO65" s="2"/>
      <c r="AP65" s="2"/>
      <c r="AQ65" s="2">
        <v>5730</v>
      </c>
      <c r="BE65" s="27"/>
    </row>
    <row r="66" spans="1:64" x14ac:dyDescent="0.25">
      <c r="A66" s="273"/>
      <c r="B66" s="276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193">
        <f ca="1">SUM(R64:R65)</f>
        <v>0</v>
      </c>
      <c r="S66" s="194">
        <f ca="1">SUM(S64:S65)</f>
        <v>0</v>
      </c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N66" s="2">
        <v>4611</v>
      </c>
      <c r="AO66" s="2"/>
      <c r="AP66" s="2"/>
      <c r="AQ66" s="2">
        <v>5722</v>
      </c>
      <c r="BE66" s="27"/>
      <c r="BG66" s="2">
        <f>BG60</f>
        <v>0</v>
      </c>
      <c r="BH66" s="2" t="str">
        <f>BH60</f>
        <v>Vormonat</v>
      </c>
      <c r="BI66" s="28">
        <f t="shared" ref="BI66:BK66" si="84">BI60</f>
        <v>43070</v>
      </c>
      <c r="BJ66" s="28">
        <f t="shared" si="84"/>
        <v>43101</v>
      </c>
      <c r="BK66" s="2">
        <f t="shared" si="84"/>
        <v>31</v>
      </c>
      <c r="BL66" s="27">
        <f>IF(BG66&gt;0,ROUND($BE$67/BK66*BG66*20,0)/20,0)</f>
        <v>0</v>
      </c>
    </row>
    <row r="67" spans="1:64" ht="14.25" customHeight="1" x14ac:dyDescent="0.25">
      <c r="A67" s="273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BE67" s="27">
        <f>BF39</f>
        <v>0</v>
      </c>
      <c r="BG67" s="2">
        <f t="shared" ref="BG67:BK67" si="85">BG61</f>
        <v>0</v>
      </c>
      <c r="BH67" s="2" t="str">
        <f t="shared" si="85"/>
        <v>Lfd Monat</v>
      </c>
      <c r="BI67" s="28">
        <f t="shared" si="85"/>
        <v>43101</v>
      </c>
      <c r="BJ67" s="28">
        <f t="shared" si="85"/>
        <v>43132</v>
      </c>
      <c r="BK67" s="2">
        <f t="shared" si="85"/>
        <v>31</v>
      </c>
      <c r="BL67" s="27">
        <f t="shared" ref="BL67:BL68" si="86">IF(BG67&gt;0,ROUND($BE$67/BK67*BG67*20,0)/20,0)</f>
        <v>0</v>
      </c>
    </row>
    <row r="68" spans="1:64" ht="14.25" hidden="1" customHeight="1" x14ac:dyDescent="0.25">
      <c r="A68" s="273"/>
      <c r="B68" s="297" t="s">
        <v>333</v>
      </c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6">
        <f ca="1">IF(Q52=0,R51-R53,0)</f>
        <v>0</v>
      </c>
      <c r="S68" s="276" t="s">
        <v>247</v>
      </c>
      <c r="T68" s="273" t="s">
        <v>578</v>
      </c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t="s">
        <v>46</v>
      </c>
      <c r="BE68" s="27"/>
      <c r="BG68" s="2">
        <f t="shared" ref="BG68:BK68" si="87">BG62</f>
        <v>0</v>
      </c>
      <c r="BH68" s="2" t="str">
        <f t="shared" si="87"/>
        <v>Folgemonat</v>
      </c>
      <c r="BI68" s="28">
        <f t="shared" si="87"/>
        <v>43132</v>
      </c>
      <c r="BJ68" s="28">
        <f t="shared" si="87"/>
        <v>43160</v>
      </c>
      <c r="BK68" s="2">
        <f t="shared" si="87"/>
        <v>28</v>
      </c>
      <c r="BL68" s="27">
        <f t="shared" si="86"/>
        <v>0</v>
      </c>
    </row>
    <row r="69" spans="1:64" ht="14.25" hidden="1" customHeight="1" x14ac:dyDescent="0.25">
      <c r="A69" s="273"/>
      <c r="B69" s="297" t="s">
        <v>464</v>
      </c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8">
        <f ca="1">IF(AND(Q55&gt;0,Q52&gt;0,T47&gt;0,T52&lt;&gt;0),R51-R53,0)</f>
        <v>0</v>
      </c>
      <c r="S69" s="278"/>
      <c r="T69" s="170"/>
      <c r="U69" s="281">
        <f ca="1">SUM(R68:R79)</f>
        <v>0</v>
      </c>
      <c r="V69" s="281">
        <f ca="1">SUM(S69:S80)</f>
        <v>0</v>
      </c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>
        <f ca="1">U69-V69</f>
        <v>0</v>
      </c>
      <c r="BE69" s="27"/>
      <c r="BG69" s="2">
        <f t="shared" ref="BG69" si="88">BG63</f>
        <v>0</v>
      </c>
      <c r="BH69" s="2"/>
      <c r="BI69" s="2"/>
      <c r="BJ69" s="2"/>
      <c r="BL69" s="27">
        <f>SUM(BL66:BL68)</f>
        <v>0</v>
      </c>
    </row>
    <row r="70" spans="1:64" ht="14.25" hidden="1" customHeight="1" x14ac:dyDescent="0.25">
      <c r="A70" s="273"/>
      <c r="B70" s="297" t="s">
        <v>461</v>
      </c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8">
        <f ca="1">IF(AND(Q55&gt;0,Q52&gt;0,T47=0,T52=0),R51,0)</f>
        <v>0</v>
      </c>
      <c r="S70" s="278">
        <f ca="1">IF(AND(Q55&gt;0,Q52&gt;0,T47=0,T52=0),Q52,0)</f>
        <v>0</v>
      </c>
      <c r="T70" s="170"/>
      <c r="U70" s="96">
        <f ca="1">IF(Q55&gt;0,R80,R80-AS45)</f>
        <v>0</v>
      </c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N70" s="2" t="s">
        <v>462</v>
      </c>
      <c r="AQ70" s="2" t="str">
        <f>TEXT(BM39-BM49,"#'###.00")</f>
        <v>.00</v>
      </c>
      <c r="BE70" s="27"/>
      <c r="BL70" s="76">
        <f>IF(BG69=0,BE67,BL69)</f>
        <v>0</v>
      </c>
    </row>
    <row r="71" spans="1:64" ht="14.25" hidden="1" customHeight="1" x14ac:dyDescent="0.25">
      <c r="A71" s="273"/>
      <c r="B71" s="297" t="s">
        <v>582</v>
      </c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8">
        <f ca="1">IF(AND(Q55&gt;0,Q52&gt;0,Q52&lt;S51,T52=0,T47=1),Q51,0)</f>
        <v>0</v>
      </c>
      <c r="S71" s="278">
        <f ca="1">IF(AND(Q55&gt;0,T52=0,T47&gt;0,R52&lt;S51),R52,0)</f>
        <v>0</v>
      </c>
      <c r="T71" s="170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N71" s="2" t="s">
        <v>463</v>
      </c>
      <c r="BE71" s="27"/>
      <c r="BJ71" s="2" t="str">
        <f>TEXT(S51,"#'###.00")</f>
        <v>.00</v>
      </c>
    </row>
    <row r="72" spans="1:64" ht="14.25" hidden="1" customHeight="1" x14ac:dyDescent="0.25">
      <c r="A72" s="273"/>
      <c r="B72" s="297" t="s">
        <v>583</v>
      </c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170"/>
      <c r="S72" s="170"/>
      <c r="T72" s="96">
        <f ca="1">IF(AND(Q55&gt;0,Q52&gt;0,T52=0,T47&gt;0,R52&lt;S51),S51,0)</f>
        <v>0</v>
      </c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N72" s="274" t="s">
        <v>581</v>
      </c>
    </row>
    <row r="73" spans="1:64" ht="14.25" hidden="1" customHeight="1" x14ac:dyDescent="0.25">
      <c r="A73" s="273"/>
      <c r="B73" s="297" t="s">
        <v>579</v>
      </c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73"/>
      <c r="Q73" s="273"/>
      <c r="R73" s="278">
        <f ca="1">IF(AND(Q55&gt;0,T52=0,T47=1,R52&gt;S51),Q51,0)</f>
        <v>0</v>
      </c>
      <c r="S73" s="96">
        <f ca="1">IF(AND(Q55&gt;0,T52=0,T47&gt;0,R52&gt;S51),BP43,0)</f>
        <v>0</v>
      </c>
      <c r="T73" s="170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</row>
    <row r="74" spans="1:64" hidden="1" x14ac:dyDescent="0.25">
      <c r="A74" s="273"/>
      <c r="B74" s="297" t="s">
        <v>580</v>
      </c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73"/>
      <c r="Q74" s="273"/>
      <c r="R74" s="170"/>
      <c r="S74" s="170"/>
      <c r="T74" s="278">
        <f ca="1">IF(AND(Q55&gt;0,T52=0,T47&gt;0,R52&gt;S51),S51,0)</f>
        <v>0</v>
      </c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N74" s="274" t="str">
        <f>CONCATENATE(AN70,AQ70,AN72)</f>
        <v>Die Einnahmen von Fr. .00 sind an die Sozialhilfe abgetreten.</v>
      </c>
    </row>
    <row r="75" spans="1:64" hidden="1" x14ac:dyDescent="0.25">
      <c r="A75" s="273"/>
      <c r="B75" s="297" t="s">
        <v>599</v>
      </c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170"/>
      <c r="T75" s="170">
        <f ca="1">IF(AND(Q55&gt;0,Q53&gt;0,Q52&gt;0,T52&lt;&gt;0,T47=0),R53,IF(AND(Q55&gt;0,Q53&gt;0,Q52&gt;0,T52=0,T47=1),Q53,0))</f>
        <v>0</v>
      </c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</row>
    <row r="76" spans="1:64" hidden="1" x14ac:dyDescent="0.25">
      <c r="A76" s="273"/>
      <c r="B76" s="297" t="s">
        <v>465</v>
      </c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73"/>
      <c r="P76" s="273"/>
      <c r="Q76" s="273"/>
      <c r="R76" s="278"/>
      <c r="S76" s="170"/>
      <c r="T76" s="278">
        <f ca="1">IF(AND(Q55&lt;=0,Q52&gt;0,T52=0,T47=1),S51,0)</f>
        <v>0</v>
      </c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</row>
    <row r="77" spans="1:64" hidden="1" x14ac:dyDescent="0.25">
      <c r="A77" s="273"/>
      <c r="B77" s="276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19"/>
      <c r="S77" s="299"/>
      <c r="T77" s="170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t="s">
        <v>46</v>
      </c>
    </row>
    <row r="78" spans="1:64" hidden="1" x14ac:dyDescent="0.25">
      <c r="A78" s="273"/>
      <c r="B78" s="297" t="s">
        <v>532</v>
      </c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8"/>
      <c r="S78" s="299"/>
      <c r="T78" s="170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</row>
    <row r="79" spans="1:64" hidden="1" x14ac:dyDescent="0.25">
      <c r="A79" s="273"/>
      <c r="B79" s="297" t="s">
        <v>533</v>
      </c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8">
        <f ca="1">IF(AND(Q55&gt;0,Q52&gt;0,T52&lt;&gt;0,T47=0),Q55,0)</f>
        <v>0</v>
      </c>
      <c r="S79" s="299"/>
      <c r="T79" s="170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t="s">
        <v>46</v>
      </c>
    </row>
    <row r="80" spans="1:64" hidden="1" x14ac:dyDescent="0.25">
      <c r="A80" s="273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8">
        <f ca="1">IF(AND(Q55&gt;0,Q52&gt;0,T52&lt;&gt;0,T47=0),Q52,IF(AND(Q55&lt;0,T52&lt;&gt;0,T47=0),Q52,0))</f>
        <v>0</v>
      </c>
      <c r="S80" s="299"/>
      <c r="T80" s="170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</row>
    <row r="81" spans="1:40" x14ac:dyDescent="0.25">
      <c r="A81" s="273"/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</row>
    <row r="82" spans="1:40" x14ac:dyDescent="0.25">
      <c r="A82" s="273"/>
      <c r="B82" s="270"/>
      <c r="C82" s="273"/>
      <c r="D82" s="277" t="s">
        <v>585</v>
      </c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9" t="s">
        <v>466</v>
      </c>
      <c r="R82" s="344">
        <f ca="1">IF(S65&gt;0,AN65,IF(R65&gt;0,AN66,0))</f>
        <v>0</v>
      </c>
      <c r="S82" s="345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</row>
    <row r="83" spans="1:40" x14ac:dyDescent="0.25">
      <c r="A83" s="273"/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9" t="s">
        <v>467</v>
      </c>
      <c r="R83" s="283">
        <f>AQ65</f>
        <v>5730</v>
      </c>
      <c r="S83" s="283">
        <f>AQ66</f>
        <v>5722</v>
      </c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</row>
    <row r="84" spans="1:40" x14ac:dyDescent="0.25">
      <c r="A84" s="273"/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9" t="s">
        <v>29</v>
      </c>
      <c r="R84" s="278">
        <f ca="1">IF(AND(U10&gt;0,AN57&gt;0),AN57,IF(AND(U10&gt;0,AN57&lt;0),AN57*-1,0))</f>
        <v>0</v>
      </c>
      <c r="S84" s="278">
        <f ca="1">IF(AND(U10&gt;0,AO57&gt;0),AO57,IF(AND(U10&gt;0,AO57&lt;0),AO57*-1,0))</f>
        <v>0</v>
      </c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</row>
    <row r="85" spans="1:40" x14ac:dyDescent="0.25">
      <c r="A85" s="273"/>
      <c r="B85" s="273"/>
      <c r="C85" s="273"/>
      <c r="D85" s="292"/>
      <c r="E85" s="292"/>
      <c r="F85" s="292"/>
      <c r="G85" s="292"/>
      <c r="H85" s="292"/>
      <c r="I85" s="273"/>
      <c r="J85" s="273"/>
      <c r="K85" s="273"/>
      <c r="L85" s="273"/>
      <c r="M85" s="273"/>
      <c r="N85" s="273"/>
      <c r="O85" s="273"/>
      <c r="P85" s="273"/>
      <c r="Q85" s="284" t="s">
        <v>258</v>
      </c>
      <c r="R85" s="342">
        <f ca="1">IF(U10&gt;0,SUM(R84:S84),0)</f>
        <v>0</v>
      </c>
      <c r="S85" s="34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 t="s">
        <v>33</v>
      </c>
      <c r="AN85">
        <f>Erfassung!F3</f>
        <v>0</v>
      </c>
    </row>
    <row r="86" spans="1:40" x14ac:dyDescent="0.25">
      <c r="A86" s="273"/>
      <c r="B86" s="273"/>
      <c r="C86" s="273"/>
      <c r="D86" s="277" t="s">
        <v>586</v>
      </c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</row>
    <row r="87" spans="1:40" x14ac:dyDescent="0.25">
      <c r="A87" s="273"/>
      <c r="B87" s="270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</row>
    <row r="88" spans="1:40" x14ac:dyDescent="0.25">
      <c r="A88" s="273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</row>
    <row r="89" spans="1:40" x14ac:dyDescent="0.25">
      <c r="A89" s="273"/>
      <c r="B89" s="277" t="s">
        <v>555</v>
      </c>
      <c r="C89" s="276"/>
      <c r="D89" s="276"/>
      <c r="E89" s="276"/>
      <c r="F89" s="276"/>
      <c r="G89" s="130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2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</row>
    <row r="90" spans="1:40" x14ac:dyDescent="0.25">
      <c r="A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</row>
    <row r="93" spans="1:40" x14ac:dyDescent="0.25">
      <c r="D93" s="305">
        <f>IF(AN85&lt;&gt;0,CONCATENATE(AN85,","),0)</f>
        <v>0</v>
      </c>
    </row>
    <row r="94" spans="1:40" x14ac:dyDescent="0.25">
      <c r="I94" s="303" t="s">
        <v>587</v>
      </c>
      <c r="J94" s="304"/>
      <c r="K94" s="304"/>
      <c r="L94" s="304"/>
      <c r="M94" s="304"/>
      <c r="N94" s="304"/>
      <c r="O94" s="304"/>
      <c r="P94" s="304"/>
      <c r="Q94" s="304"/>
      <c r="R94" s="304"/>
      <c r="S94" s="304"/>
    </row>
  </sheetData>
  <sheetProtection password="F801" sheet="1" objects="1" scenarios="1" selectLockedCells="1"/>
  <mergeCells count="2">
    <mergeCell ref="R85:S85"/>
    <mergeCell ref="R82:S82"/>
  </mergeCells>
  <conditionalFormatting sqref="B65">
    <cfRule type="cellIs" dxfId="7" priority="3" operator="equal">
      <formula>$BJ$32</formula>
    </cfRule>
    <cfRule type="cellIs" dxfId="6" priority="4" operator="equal">
      <formula>$BH$32</formula>
    </cfRule>
  </conditionalFormatting>
  <conditionalFormatting sqref="S65">
    <cfRule type="cellIs" dxfId="5" priority="2" operator="greaterThan">
      <formula>0</formula>
    </cfRule>
  </conditionalFormatting>
  <conditionalFormatting sqref="R65">
    <cfRule type="cellIs" dxfId="4" priority="1" operator="greaterThan">
      <formula>0</formula>
    </cfRule>
  </conditionalFormatting>
  <pageMargins left="0.59055118110236227" right="0.31496062992125984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Z98"/>
  <sheetViews>
    <sheetView showGridLines="0" showRowColHeaders="0" showZeros="0" workbookViewId="0">
      <pane ySplit="11" topLeftCell="A12" activePane="bottomLeft" state="frozen"/>
      <selection activeCell="J36" sqref="J36"/>
      <selection pane="bottomLeft" activeCell="A101" sqref="A101"/>
    </sheetView>
  </sheetViews>
  <sheetFormatPr baseColWidth="10" defaultRowHeight="13.8" x14ac:dyDescent="0.25"/>
  <cols>
    <col min="1" max="1" width="1.19921875" customWidth="1"/>
    <col min="2" max="2" width="23.59765625" customWidth="1"/>
    <col min="3" max="3" width="7.69921875" customWidth="1"/>
    <col min="4" max="4" width="8.3984375" customWidth="1"/>
    <col min="5" max="5" width="7.09765625" customWidth="1"/>
    <col min="6" max="6" width="5.8984375" customWidth="1"/>
    <col min="7" max="7" width="1.8984375" customWidth="1"/>
    <col min="8" max="8" width="2.5" hidden="1" customWidth="1"/>
    <col min="9" max="16" width="6.19921875" hidden="1" customWidth="1"/>
    <col min="17" max="17" width="7.69921875" hidden="1" customWidth="1"/>
    <col min="18" max="22" width="5.19921875" hidden="1" customWidth="1"/>
    <col min="23" max="23" width="9.09765625" style="2" hidden="1" customWidth="1"/>
    <col min="24" max="24" width="5.3984375" style="2" hidden="1" customWidth="1"/>
    <col min="25" max="25" width="6.8984375" style="2" hidden="1" customWidth="1"/>
    <col min="26" max="27" width="6.3984375" style="2" hidden="1" customWidth="1"/>
    <col min="28" max="28" width="11" hidden="1" customWidth="1"/>
    <col min="29" max="29" width="4.5" hidden="1" customWidth="1"/>
    <col min="30" max="32" width="5" hidden="1" customWidth="1"/>
    <col min="33" max="33" width="11" hidden="1" customWidth="1"/>
    <col min="34" max="34" width="3.8984375" hidden="1" customWidth="1"/>
    <col min="35" max="35" width="9.09765625" hidden="1" customWidth="1"/>
    <col min="36" max="36" width="9.69921875" hidden="1" customWidth="1"/>
    <col min="37" max="37" width="3" hidden="1" customWidth="1"/>
    <col min="38" max="38" width="3.19921875" style="2" hidden="1" customWidth="1"/>
    <col min="39" max="39" width="2.69921875" style="2" hidden="1" customWidth="1"/>
    <col min="40" max="40" width="3.19921875" style="2" hidden="1" customWidth="1"/>
    <col min="41" max="41" width="2.5" style="2" hidden="1" customWidth="1"/>
    <col min="42" max="42" width="3.5" style="2" hidden="1" customWidth="1"/>
    <col min="43" max="43" width="3.09765625" style="2" hidden="1" customWidth="1"/>
    <col min="44" max="44" width="3.3984375" hidden="1" customWidth="1"/>
    <col min="45" max="45" width="2.69921875" hidden="1" customWidth="1"/>
    <col min="46" max="46" width="3.19921875" hidden="1" customWidth="1"/>
    <col min="47" max="47" width="3.09765625" hidden="1" customWidth="1"/>
    <col min="48" max="48" width="4.3984375" hidden="1" customWidth="1"/>
    <col min="49" max="49" width="11" customWidth="1"/>
    <col min="50" max="52" width="7.3984375" customWidth="1"/>
  </cols>
  <sheetData>
    <row r="1" spans="2:52" ht="8.25" customHeight="1" x14ac:dyDescent="0.25"/>
    <row r="2" spans="2:52" x14ac:dyDescent="0.25">
      <c r="B2" s="38" t="s">
        <v>149</v>
      </c>
      <c r="W2" s="46" t="s">
        <v>151</v>
      </c>
      <c r="X2" s="46"/>
      <c r="Y2" s="46"/>
      <c r="Z2" s="46"/>
      <c r="AA2" s="46"/>
      <c r="AD2" s="2" t="s">
        <v>250</v>
      </c>
      <c r="AE2" s="2" t="s">
        <v>251</v>
      </c>
      <c r="AF2" s="2" t="s">
        <v>158</v>
      </c>
      <c r="AX2" s="31" t="s">
        <v>475</v>
      </c>
      <c r="AY2" s="31"/>
      <c r="AZ2" s="31"/>
    </row>
    <row r="3" spans="2:52" x14ac:dyDescent="0.25">
      <c r="B3" s="38" t="s">
        <v>150</v>
      </c>
      <c r="O3" s="2">
        <f ca="1">Rechnen!F9</f>
        <v>0</v>
      </c>
      <c r="P3" s="2" t="s">
        <v>264</v>
      </c>
      <c r="W3" s="46"/>
      <c r="X3" s="46"/>
      <c r="Y3" s="46"/>
      <c r="Z3" s="46"/>
      <c r="AA3" s="46"/>
      <c r="AC3" s="20">
        <v>1</v>
      </c>
      <c r="AD3" s="19">
        <f>Rechnen!C12</f>
        <v>522</v>
      </c>
      <c r="AE3" s="19">
        <f>Rechnen!D12</f>
        <v>486</v>
      </c>
      <c r="AF3" s="19">
        <f>Rechnen!E12</f>
        <v>125</v>
      </c>
      <c r="AH3" s="2">
        <f>Erfassung!E3</f>
        <v>0</v>
      </c>
      <c r="AJ3" s="2" t="s">
        <v>254</v>
      </c>
      <c r="AX3" s="31">
        <f ca="1">IF(D32&gt;0,B9,0)</f>
        <v>0</v>
      </c>
      <c r="AY3" s="31"/>
      <c r="AZ3" s="31"/>
    </row>
    <row r="4" spans="2:52" x14ac:dyDescent="0.25">
      <c r="B4" s="38" t="s">
        <v>145</v>
      </c>
      <c r="W4" s="47" t="s">
        <v>152</v>
      </c>
      <c r="X4" s="46"/>
      <c r="Y4" s="46"/>
      <c r="Z4" s="46"/>
      <c r="AA4" s="46"/>
      <c r="AC4" s="20">
        <v>2</v>
      </c>
      <c r="AD4" s="19">
        <f>Rechnen!C13</f>
        <v>484</v>
      </c>
      <c r="AE4" s="19">
        <f>Rechnen!D13</f>
        <v>450</v>
      </c>
      <c r="AF4" s="19">
        <f>Rechnen!E13</f>
        <v>115</v>
      </c>
      <c r="AJ4">
        <f>SUM(AJ12:AJ98)</f>
        <v>0</v>
      </c>
      <c r="AW4" s="31"/>
      <c r="AX4" s="175" t="s">
        <v>476</v>
      </c>
      <c r="AY4" s="175" t="s">
        <v>478</v>
      </c>
      <c r="AZ4" s="175" t="s">
        <v>158</v>
      </c>
    </row>
    <row r="5" spans="2:52" x14ac:dyDescent="0.25">
      <c r="W5" s="47" t="s">
        <v>153</v>
      </c>
      <c r="X5" s="46"/>
      <c r="Y5" s="46"/>
      <c r="Z5" s="46"/>
      <c r="AA5" s="46"/>
      <c r="AC5" s="70" t="s">
        <v>252</v>
      </c>
      <c r="AD5" s="19">
        <f>Rechnen!C14</f>
        <v>200</v>
      </c>
      <c r="AE5" s="19">
        <f>Rechnen!D14</f>
        <v>180</v>
      </c>
      <c r="AF5" s="19">
        <f>Rechnen!E14</f>
        <v>110</v>
      </c>
      <c r="AI5" s="2">
        <f>Erfassung!F3</f>
        <v>0</v>
      </c>
      <c r="AW5" s="31"/>
      <c r="AX5" s="176" t="s">
        <v>477</v>
      </c>
      <c r="AY5" s="176" t="s">
        <v>479</v>
      </c>
      <c r="AZ5" s="176"/>
    </row>
    <row r="6" spans="2:52" x14ac:dyDescent="0.25">
      <c r="B6" s="31">
        <f ca="1">IF(AND(Erfassung!Y25&gt;0,'Übersicht KVG'!O3=1),CONCATENATE(Unterstützung!Q6,", ",Unterstützung!O19),0)</f>
        <v>0</v>
      </c>
      <c r="J6" s="2">
        <f>IF(AJ4=AC3,AC3,0)</f>
        <v>0</v>
      </c>
      <c r="K6" s="2">
        <f>J6</f>
        <v>0</v>
      </c>
      <c r="L6" s="2">
        <f>J6</f>
        <v>0</v>
      </c>
      <c r="M6" s="2">
        <f>IF(AJ4=AC4,AC4,0)</f>
        <v>0</v>
      </c>
      <c r="N6" s="2">
        <f>M6</f>
        <v>0</v>
      </c>
      <c r="O6" s="2">
        <f>M6</f>
        <v>0</v>
      </c>
      <c r="W6" s="46"/>
      <c r="X6" s="46"/>
      <c r="Y6" s="46"/>
      <c r="Z6" s="46"/>
      <c r="AA6" s="46"/>
      <c r="AB6" s="2" t="s">
        <v>399</v>
      </c>
      <c r="AD6" s="71">
        <f>Rechnen!C15</f>
        <v>2018</v>
      </c>
      <c r="AE6" s="27"/>
      <c r="AF6" s="27"/>
      <c r="AW6" s="31"/>
      <c r="AX6" s="39">
        <f>IF($AJ$4=$AC$3,AD3,IF($AJ$4=$AC$4,AD4,0))</f>
        <v>0</v>
      </c>
      <c r="AY6" s="39">
        <f t="shared" ref="AY6:AZ6" si="0">IF($AJ$4=$AC$3,AE3,IF($AJ$4=$AC$4,AE4,0))</f>
        <v>0</v>
      </c>
      <c r="AZ6" s="39">
        <f t="shared" si="0"/>
        <v>0</v>
      </c>
    </row>
    <row r="7" spans="2:52" x14ac:dyDescent="0.25">
      <c r="B7" s="31"/>
      <c r="W7" s="46"/>
      <c r="X7" s="46"/>
      <c r="Y7" s="346" t="s">
        <v>144</v>
      </c>
      <c r="Z7" s="347"/>
      <c r="AA7" s="348"/>
      <c r="AB7" s="2" t="s">
        <v>400</v>
      </c>
      <c r="AH7" t="str">
        <f>IF(OR(AI5=AB8,AI5=AB9),AB7,IF(OR(AI5&lt;&gt;AB8,AI5&lt;&gt;AB9),AB6,0))</f>
        <v xml:space="preserve">Gemeinde </v>
      </c>
      <c r="AW7" s="31"/>
      <c r="AX7" s="31"/>
      <c r="AY7" s="31"/>
      <c r="AZ7" s="31"/>
    </row>
    <row r="8" spans="2:52" x14ac:dyDescent="0.25">
      <c r="B8" s="31">
        <f ca="1">IF(AND(O3=1,AH3&gt;0),CONCATENATE(AH7,AI5),0)</f>
        <v>0</v>
      </c>
      <c r="J8" s="27">
        <f>AF3</f>
        <v>125</v>
      </c>
      <c r="K8" s="27">
        <f>AE3</f>
        <v>486</v>
      </c>
      <c r="L8" s="27">
        <f>AD3</f>
        <v>522</v>
      </c>
      <c r="M8" s="27">
        <f>AF4</f>
        <v>115</v>
      </c>
      <c r="N8" s="27">
        <f>AE4</f>
        <v>450</v>
      </c>
      <c r="O8" s="27">
        <f>AD4</f>
        <v>484</v>
      </c>
      <c r="W8" s="48" t="s">
        <v>33</v>
      </c>
      <c r="X8" s="48" t="s">
        <v>154</v>
      </c>
      <c r="Y8" s="346" t="s">
        <v>155</v>
      </c>
      <c r="Z8" s="347"/>
      <c r="AA8" s="348"/>
      <c r="AB8" s="2" t="s">
        <v>205</v>
      </c>
      <c r="AE8" s="68">
        <v>26</v>
      </c>
      <c r="AF8" s="25">
        <f>$AD$6-AE8</f>
        <v>1992</v>
      </c>
      <c r="AW8" s="31"/>
      <c r="AX8" s="31"/>
      <c r="AY8" s="31"/>
      <c r="AZ8" s="31"/>
    </row>
    <row r="9" spans="2:52" x14ac:dyDescent="0.25">
      <c r="B9" s="31">
        <f ca="1">IF(AND(O3=1,AH3&gt;0,AJ4&gt;0),CONCATENATE(AJ3,AJ4),0)</f>
        <v>0</v>
      </c>
      <c r="W9" s="49"/>
      <c r="X9" s="50"/>
      <c r="Y9" s="51">
        <v>1988</v>
      </c>
      <c r="Z9" s="52">
        <v>1995</v>
      </c>
      <c r="AA9" s="52">
        <v>1996</v>
      </c>
      <c r="AB9" s="2" t="s">
        <v>200</v>
      </c>
      <c r="AE9" s="68">
        <v>25</v>
      </c>
      <c r="AF9" s="25">
        <f t="shared" ref="AF9:AF11" si="1">$AD$6-AE9</f>
        <v>1993</v>
      </c>
      <c r="AL9" s="108" t="s">
        <v>337</v>
      </c>
      <c r="AM9" s="108"/>
      <c r="AN9" s="108"/>
      <c r="AO9" s="108"/>
      <c r="AP9" s="108"/>
      <c r="AQ9" s="108"/>
      <c r="AR9" s="108"/>
      <c r="AS9" s="108"/>
      <c r="AT9" s="108"/>
      <c r="AU9" s="108"/>
      <c r="AW9" s="31"/>
      <c r="AX9" s="31"/>
      <c r="AY9" s="31"/>
      <c r="AZ9" s="31"/>
    </row>
    <row r="10" spans="2:52" x14ac:dyDescent="0.25">
      <c r="W10" s="49"/>
      <c r="X10" s="50"/>
      <c r="Y10" s="51" t="s">
        <v>156</v>
      </c>
      <c r="Z10" s="51">
        <v>1989</v>
      </c>
      <c r="AA10" s="52">
        <v>2014</v>
      </c>
      <c r="AE10" s="68">
        <v>19</v>
      </c>
      <c r="AF10" s="25">
        <f t="shared" si="1"/>
        <v>1999</v>
      </c>
      <c r="AL10" s="109" t="s">
        <v>338</v>
      </c>
      <c r="AM10" s="109" t="s">
        <v>339</v>
      </c>
      <c r="AN10" s="109" t="s">
        <v>340</v>
      </c>
      <c r="AO10" s="109" t="s">
        <v>341</v>
      </c>
      <c r="AP10" s="109" t="s">
        <v>342</v>
      </c>
      <c r="AQ10" s="109" t="s">
        <v>343</v>
      </c>
      <c r="AR10" s="109" t="s">
        <v>344</v>
      </c>
      <c r="AS10" s="109" t="s">
        <v>345</v>
      </c>
      <c r="AT10" s="109" t="s">
        <v>346</v>
      </c>
      <c r="AU10" s="109" t="s">
        <v>347</v>
      </c>
      <c r="AV10" s="109" t="s">
        <v>358</v>
      </c>
      <c r="AW10" s="31"/>
      <c r="AX10" s="31"/>
      <c r="AY10" s="31"/>
      <c r="AZ10" s="31"/>
    </row>
    <row r="11" spans="2:52" x14ac:dyDescent="0.25">
      <c r="W11" s="53"/>
      <c r="X11" s="54"/>
      <c r="Y11" s="48" t="s">
        <v>157</v>
      </c>
      <c r="Z11" s="48" t="s">
        <v>129</v>
      </c>
      <c r="AA11" s="55" t="s">
        <v>158</v>
      </c>
      <c r="AE11" s="68">
        <v>18</v>
      </c>
      <c r="AF11" s="25">
        <f t="shared" si="1"/>
        <v>2000</v>
      </c>
      <c r="AL11" s="109" t="s">
        <v>348</v>
      </c>
      <c r="AM11" s="109" t="s">
        <v>349</v>
      </c>
      <c r="AN11" s="109" t="s">
        <v>350</v>
      </c>
      <c r="AO11" s="109" t="s">
        <v>351</v>
      </c>
      <c r="AP11" s="109" t="s">
        <v>352</v>
      </c>
      <c r="AQ11" s="109" t="s">
        <v>353</v>
      </c>
      <c r="AR11" s="109" t="s">
        <v>354</v>
      </c>
      <c r="AS11" s="110" t="s">
        <v>355</v>
      </c>
      <c r="AT11" s="109" t="s">
        <v>356</v>
      </c>
      <c r="AU11" s="109" t="s">
        <v>357</v>
      </c>
      <c r="AV11" s="109" t="s">
        <v>359</v>
      </c>
      <c r="AW11" s="31"/>
      <c r="AX11" s="31"/>
      <c r="AY11" s="31"/>
      <c r="AZ11" s="31"/>
    </row>
    <row r="12" spans="2:52" hidden="1" x14ac:dyDescent="0.25">
      <c r="S12" t="s">
        <v>286</v>
      </c>
      <c r="V12" s="69">
        <v>4147</v>
      </c>
      <c r="W12" s="56" t="s">
        <v>159</v>
      </c>
      <c r="X12" s="57">
        <v>1</v>
      </c>
      <c r="Y12" s="58">
        <f>IF(X12=$AC$3,$AD$3,IF(X12=$AC$4,$AD$4,0))</f>
        <v>522</v>
      </c>
      <c r="Z12" s="58">
        <f>IF(X12=$AC$3,$AE$3,IF(X12=$AC$4,$AE$4))</f>
        <v>486</v>
      </c>
      <c r="AA12" s="58">
        <f>IF(X12=$AC$3,$AF$3,IF(X12=$AC$4,$AF$4,0))</f>
        <v>125</v>
      </c>
      <c r="AB12" s="2" t="str">
        <f>IF(OR(W12=$AB$8,W12=$AB$9),$AB$7,$AB$6)</f>
        <v xml:space="preserve">Gemeinde </v>
      </c>
      <c r="AH12" s="2">
        <f>IF($AH$3=V12,V12,0)</f>
        <v>0</v>
      </c>
      <c r="AI12" s="2">
        <f>IF($AH$3=V12,W12,0)</f>
        <v>0</v>
      </c>
      <c r="AJ12" s="2">
        <f>IF(AH12=V12,X12,0)</f>
        <v>0</v>
      </c>
    </row>
    <row r="13" spans="2:52" hidden="1" x14ac:dyDescent="0.25">
      <c r="I13" s="2" t="s">
        <v>262</v>
      </c>
      <c r="J13" s="80">
        <v>1</v>
      </c>
      <c r="K13" s="80">
        <v>1</v>
      </c>
      <c r="L13" s="80">
        <v>1</v>
      </c>
      <c r="M13" s="80">
        <v>2</v>
      </c>
      <c r="N13" s="80">
        <v>2</v>
      </c>
      <c r="O13" s="80">
        <v>2</v>
      </c>
      <c r="P13" s="80" t="s">
        <v>258</v>
      </c>
      <c r="Q13" s="2" t="s">
        <v>252</v>
      </c>
      <c r="R13" s="2" t="s">
        <v>285</v>
      </c>
      <c r="S13" s="2" t="s">
        <v>287</v>
      </c>
      <c r="T13" s="2" t="s">
        <v>288</v>
      </c>
      <c r="U13" s="2"/>
      <c r="V13" s="69">
        <v>4123</v>
      </c>
      <c r="W13" s="56" t="s">
        <v>160</v>
      </c>
      <c r="X13" s="57">
        <v>1</v>
      </c>
      <c r="Y13" s="58">
        <f t="shared" ref="Y13:Y76" si="2">IF(X13=$AC$3,$AD$3,IF(X13=$AC$4,$AD$4,0))</f>
        <v>522</v>
      </c>
      <c r="Z13" s="58">
        <f t="shared" ref="Z13:Z15" si="3">IF(X13=$AC$3,$AE$3,IF(X13=$AC$4,$AE$4))</f>
        <v>486</v>
      </c>
      <c r="AA13" s="58">
        <f t="shared" ref="AA13:AA15" si="4">IF(X13=$AC$3,$AF$3,IF(X13=$AC$4,$AF$4,0))</f>
        <v>125</v>
      </c>
      <c r="AB13" s="2" t="str">
        <f t="shared" ref="AB13:AB76" si="5">IF(OR(W13=$AB$8,W13=$AB$9),$AB$7,$AB$6)</f>
        <v xml:space="preserve">Gemeinde </v>
      </c>
      <c r="AH13" s="2">
        <f>IF($AH$3=V13,V13,0)</f>
        <v>0</v>
      </c>
      <c r="AI13" s="2">
        <f>IF($AH$3=V13,W13,0)</f>
        <v>0</v>
      </c>
      <c r="AJ13" s="2">
        <f t="shared" ref="AJ13:AJ76" si="6">IF(AH13=V13,X13,0)</f>
        <v>0</v>
      </c>
    </row>
    <row r="14" spans="2:52" hidden="1" x14ac:dyDescent="0.25">
      <c r="I14" s="2" t="s">
        <v>263</v>
      </c>
      <c r="J14" s="81" t="s">
        <v>259</v>
      </c>
      <c r="K14" s="81" t="s">
        <v>260</v>
      </c>
      <c r="L14" s="81" t="s">
        <v>261</v>
      </c>
      <c r="M14" s="81" t="s">
        <v>259</v>
      </c>
      <c r="N14" s="81" t="s">
        <v>260</v>
      </c>
      <c r="O14" s="81" t="s">
        <v>261</v>
      </c>
      <c r="P14" s="79"/>
      <c r="Q14" s="2"/>
      <c r="V14" s="69">
        <v>4469</v>
      </c>
      <c r="W14" s="56" t="s">
        <v>161</v>
      </c>
      <c r="X14" s="57">
        <v>2</v>
      </c>
      <c r="Y14" s="58">
        <f t="shared" si="2"/>
        <v>484</v>
      </c>
      <c r="Z14" s="58">
        <f t="shared" si="3"/>
        <v>450</v>
      </c>
      <c r="AA14" s="58">
        <f t="shared" si="4"/>
        <v>115</v>
      </c>
      <c r="AB14" s="2" t="str">
        <f t="shared" si="5"/>
        <v xml:space="preserve">Gemeinde </v>
      </c>
      <c r="AH14" s="2">
        <f t="shared" ref="AH14:AH77" si="7">IF($AH$3=V14,V14,0)</f>
        <v>0</v>
      </c>
      <c r="AI14" s="2">
        <f t="shared" ref="AI14:AI77" si="8">IF($AH$3=V14,W14,0)</f>
        <v>0</v>
      </c>
      <c r="AJ14" s="2">
        <f t="shared" si="6"/>
        <v>0</v>
      </c>
    </row>
    <row r="15" spans="2:52" hidden="1" x14ac:dyDescent="0.25">
      <c r="G15" s="75"/>
      <c r="H15" s="105">
        <f>Erfassung!N13</f>
        <v>0</v>
      </c>
      <c r="I15" s="78">
        <f t="shared" ref="I15:I26" si="9">IF(C20&gt;0,YEAR(C20),0)</f>
        <v>0</v>
      </c>
      <c r="J15" s="75">
        <f>IF(AND($J$13=$J$6,I15&gt;=$AF$11),$J$8,0)</f>
        <v>0</v>
      </c>
      <c r="K15" s="75">
        <f>IF(AND($K$13=$K$6,I15&lt;$AF$11,I15&gt;=$AF$9),$K$8,0)</f>
        <v>0</v>
      </c>
      <c r="L15" s="75">
        <f>IF(AND($L$13=$L$6,I15&lt;$AF$9),$L$8,0)</f>
        <v>0</v>
      </c>
      <c r="M15" s="75">
        <f>IF(AND($M$13=$M$6,I15&gt;=$AF$11),$M$8,0)</f>
        <v>0</v>
      </c>
      <c r="N15" s="75">
        <f>IF(AND($N$13=$N$6,I15&lt;$AF$11,I15&gt;=$AF$9),$N$8,0)</f>
        <v>0</v>
      </c>
      <c r="O15" s="27">
        <f>IF(AND(I15&gt;0,$O$13=$O$6,I15&lt;$AF$9),$O$8,0)</f>
        <v>0</v>
      </c>
      <c r="P15" s="27">
        <f>SUM(J15:O15)</f>
        <v>0</v>
      </c>
      <c r="Q15" s="27">
        <f>IF(AND(I15&gt;0,I15&lt;$AF$9),$AD$5,IF(AND(I15&gt;0,I15&gt;=$AF$9,I15&lt;$AF$11),$AE$5,IF(AND(I15&gt;0,I15&gt;=$AF$11),$AF$5,0)))</f>
        <v>0</v>
      </c>
      <c r="R15" s="2">
        <f>IF(H15=0,'Gefestigte LG'!BE10,IF(H15&lt;&gt;0,1,0))</f>
        <v>0</v>
      </c>
      <c r="S15" s="2">
        <f>Erfassung!P13</f>
        <v>0</v>
      </c>
      <c r="T15" s="2">
        <f>IF(R15=1,S15,0)</f>
        <v>0</v>
      </c>
      <c r="U15" s="2"/>
      <c r="V15" s="69">
        <v>4424</v>
      </c>
      <c r="W15" s="56" t="s">
        <v>162</v>
      </c>
      <c r="X15" s="57">
        <v>2</v>
      </c>
      <c r="Y15" s="58">
        <f t="shared" si="2"/>
        <v>484</v>
      </c>
      <c r="Z15" s="58">
        <f t="shared" si="3"/>
        <v>450</v>
      </c>
      <c r="AA15" s="58">
        <f t="shared" si="4"/>
        <v>115</v>
      </c>
      <c r="AB15" s="2" t="str">
        <f t="shared" si="5"/>
        <v xml:space="preserve">Gemeinde </v>
      </c>
      <c r="AH15" s="2">
        <f t="shared" si="7"/>
        <v>0</v>
      </c>
      <c r="AI15" s="2">
        <f t="shared" si="8"/>
        <v>0</v>
      </c>
      <c r="AJ15" s="2">
        <f t="shared" si="6"/>
        <v>0</v>
      </c>
    </row>
    <row r="16" spans="2:52" hidden="1" x14ac:dyDescent="0.25">
      <c r="G16" s="75"/>
      <c r="H16" s="105">
        <f>Erfassung!N14</f>
        <v>0</v>
      </c>
      <c r="I16" s="78">
        <f t="shared" si="9"/>
        <v>0</v>
      </c>
      <c r="J16" s="75">
        <f t="shared" ref="J16:J26" si="10">IF(AND($J$13=$J$6,I16&gt;=$AF$11),$J$8,0)</f>
        <v>0</v>
      </c>
      <c r="K16" s="75">
        <f t="shared" ref="K16:K26" si="11">IF(AND($K$13=$K$6,I16&lt;$AF$11,I16&gt;=$AF$9),$K$8,0)</f>
        <v>0</v>
      </c>
      <c r="L16" s="75">
        <f t="shared" ref="L16:L26" si="12">IF(AND($L$13=$L$6,I16&lt;$AF$9),$L$8,0)</f>
        <v>0</v>
      </c>
      <c r="M16" s="75">
        <f t="shared" ref="M16:M26" si="13">IF(AND($M$13=$M$6,I16&gt;=$AF$11),$M$8,0)</f>
        <v>0</v>
      </c>
      <c r="N16" s="75">
        <f t="shared" ref="N16:N26" si="14">IF(AND($N$13=$N$6,I16&lt;$AF$11,I16&gt;=$AF$9),$N$8,0)</f>
        <v>0</v>
      </c>
      <c r="O16" s="27">
        <f t="shared" ref="O16:O26" si="15">IF(AND(I16&gt;0,$O$13=$O$6,I16&lt;$AF$9),$O$8,0)</f>
        <v>0</v>
      </c>
      <c r="P16" s="27">
        <f t="shared" ref="P16:P26" si="16">SUM(J16:O16)</f>
        <v>0</v>
      </c>
      <c r="Q16" s="27">
        <f t="shared" ref="Q16:Q26" si="17">IF(AND(I16&gt;0,I16&lt;$AF$9),$AD$5,IF(AND(I16&gt;0,I16&gt;=$AF$9,I16&lt;$AF$11),$AE$5,IF(AND(I16&gt;0,I16&gt;=$AF$11),$AF$5,0)))</f>
        <v>0</v>
      </c>
      <c r="R16" s="2">
        <f>IF(H16=0,'Gefestigte LG'!BE11,IF(H16&lt;&gt;0,1,0))</f>
        <v>0</v>
      </c>
      <c r="S16" s="2">
        <f>Erfassung!P14</f>
        <v>0</v>
      </c>
      <c r="T16" s="2">
        <f t="shared" ref="T16:T26" si="18">IF(R16=1,S16,0)</f>
        <v>0</v>
      </c>
      <c r="U16" s="2"/>
      <c r="V16" s="69">
        <v>4422</v>
      </c>
      <c r="W16" s="56" t="s">
        <v>163</v>
      </c>
      <c r="X16" s="57">
        <v>2</v>
      </c>
      <c r="Y16" s="58">
        <f t="shared" si="2"/>
        <v>484</v>
      </c>
      <c r="Z16" s="58">
        <f t="shared" ref="Z16:Z32" si="19">IF(X16=$AC$3,$AE$3,IF(X16=$AC$4,$AE$4))</f>
        <v>450</v>
      </c>
      <c r="AA16" s="58">
        <f t="shared" ref="AA16:AA32" si="20">IF(X16=$AC$3,$AF$3,IF(X16=$AC$4,$AF$4,0))</f>
        <v>115</v>
      </c>
      <c r="AB16" s="2" t="str">
        <f t="shared" si="5"/>
        <v xml:space="preserve">Gemeinde </v>
      </c>
      <c r="AH16" s="2">
        <f t="shared" si="7"/>
        <v>0</v>
      </c>
      <c r="AI16" s="2">
        <f t="shared" si="8"/>
        <v>0</v>
      </c>
      <c r="AJ16" s="2">
        <f t="shared" si="6"/>
        <v>0</v>
      </c>
    </row>
    <row r="17" spans="2:36" x14ac:dyDescent="0.25">
      <c r="F17" s="22" t="s">
        <v>267</v>
      </c>
      <c r="G17" s="75"/>
      <c r="H17" s="105">
        <f>Erfassung!N15</f>
        <v>0</v>
      </c>
      <c r="I17" s="78">
        <f t="shared" si="9"/>
        <v>0</v>
      </c>
      <c r="J17" s="75">
        <f t="shared" si="10"/>
        <v>0</v>
      </c>
      <c r="K17" s="75">
        <f t="shared" si="11"/>
        <v>0</v>
      </c>
      <c r="L17" s="75">
        <f t="shared" si="12"/>
        <v>0</v>
      </c>
      <c r="M17" s="75">
        <f t="shared" si="13"/>
        <v>0</v>
      </c>
      <c r="N17" s="75">
        <f t="shared" si="14"/>
        <v>0</v>
      </c>
      <c r="O17" s="27">
        <f t="shared" si="15"/>
        <v>0</v>
      </c>
      <c r="P17" s="27">
        <f t="shared" si="16"/>
        <v>0</v>
      </c>
      <c r="Q17" s="27">
        <f t="shared" si="17"/>
        <v>0</v>
      </c>
      <c r="R17" s="2">
        <f>IF(H17=0,'Gefestigte LG'!BE12,IF(H17&lt;&gt;0,1,0))</f>
        <v>0</v>
      </c>
      <c r="S17" s="2">
        <f>Erfassung!P15</f>
        <v>0</v>
      </c>
      <c r="T17" s="2">
        <f t="shared" si="18"/>
        <v>0</v>
      </c>
      <c r="U17" s="2"/>
      <c r="V17" s="69">
        <v>4144</v>
      </c>
      <c r="W17" s="56" t="s">
        <v>164</v>
      </c>
      <c r="X17" s="57">
        <v>1</v>
      </c>
      <c r="Y17" s="58">
        <f t="shared" si="2"/>
        <v>522</v>
      </c>
      <c r="Z17" s="58">
        <f t="shared" si="19"/>
        <v>486</v>
      </c>
      <c r="AA17" s="58">
        <f t="shared" si="20"/>
        <v>125</v>
      </c>
      <c r="AB17" s="2" t="str">
        <f t="shared" si="5"/>
        <v xml:space="preserve">Gemeinde </v>
      </c>
      <c r="AH17" s="2">
        <f t="shared" si="7"/>
        <v>0</v>
      </c>
      <c r="AI17" s="2">
        <f t="shared" si="8"/>
        <v>0</v>
      </c>
      <c r="AJ17" s="2">
        <f t="shared" si="6"/>
        <v>0</v>
      </c>
    </row>
    <row r="18" spans="2:36" x14ac:dyDescent="0.25">
      <c r="B18" s="22" t="s">
        <v>15</v>
      </c>
      <c r="C18" s="22" t="s">
        <v>257</v>
      </c>
      <c r="D18" s="22" t="s">
        <v>255</v>
      </c>
      <c r="E18" s="22"/>
      <c r="F18" s="22" t="s">
        <v>268</v>
      </c>
      <c r="G18" s="75"/>
      <c r="H18" s="105">
        <f>Erfassung!N16</f>
        <v>0</v>
      </c>
      <c r="I18" s="78">
        <f t="shared" si="9"/>
        <v>0</v>
      </c>
      <c r="J18" s="75">
        <f t="shared" si="10"/>
        <v>0</v>
      </c>
      <c r="K18" s="75">
        <f t="shared" si="11"/>
        <v>0</v>
      </c>
      <c r="L18" s="75">
        <f t="shared" si="12"/>
        <v>0</v>
      </c>
      <c r="M18" s="75">
        <f t="shared" si="13"/>
        <v>0</v>
      </c>
      <c r="N18" s="75">
        <f t="shared" si="14"/>
        <v>0</v>
      </c>
      <c r="O18" s="27">
        <f t="shared" si="15"/>
        <v>0</v>
      </c>
      <c r="P18" s="27">
        <f t="shared" si="16"/>
        <v>0</v>
      </c>
      <c r="Q18" s="27">
        <f t="shared" si="17"/>
        <v>0</v>
      </c>
      <c r="R18" s="2">
        <f>IF(H18=0,'Gefestigte LG'!BE13,IF(H18&lt;&gt;0,1,0))</f>
        <v>0</v>
      </c>
      <c r="S18" s="2">
        <f>Erfassung!P16</f>
        <v>0</v>
      </c>
      <c r="T18" s="2">
        <f t="shared" si="18"/>
        <v>0</v>
      </c>
      <c r="U18" s="2"/>
      <c r="V18" s="69">
        <v>4302</v>
      </c>
      <c r="W18" s="56" t="s">
        <v>165</v>
      </c>
      <c r="X18" s="57">
        <v>2</v>
      </c>
      <c r="Y18" s="58">
        <f t="shared" si="2"/>
        <v>484</v>
      </c>
      <c r="Z18" s="58">
        <f t="shared" si="19"/>
        <v>450</v>
      </c>
      <c r="AA18" s="58">
        <f t="shared" si="20"/>
        <v>115</v>
      </c>
      <c r="AB18" s="2" t="str">
        <f t="shared" si="5"/>
        <v xml:space="preserve">Gemeinde </v>
      </c>
      <c r="AH18" s="2">
        <f t="shared" si="7"/>
        <v>0</v>
      </c>
      <c r="AI18" s="2">
        <f t="shared" si="8"/>
        <v>0</v>
      </c>
      <c r="AJ18" s="2">
        <f t="shared" si="6"/>
        <v>0</v>
      </c>
    </row>
    <row r="19" spans="2:36" x14ac:dyDescent="0.25">
      <c r="B19" s="22"/>
      <c r="C19" s="22" t="s">
        <v>256</v>
      </c>
      <c r="D19" s="22" t="s">
        <v>265</v>
      </c>
      <c r="E19" s="22" t="s">
        <v>266</v>
      </c>
      <c r="F19" s="22" t="s">
        <v>252</v>
      </c>
      <c r="G19" s="75"/>
      <c r="H19" s="105">
        <f>Erfassung!N17</f>
        <v>0</v>
      </c>
      <c r="I19" s="78">
        <f t="shared" si="9"/>
        <v>0</v>
      </c>
      <c r="J19" s="75">
        <f t="shared" si="10"/>
        <v>0</v>
      </c>
      <c r="K19" s="75">
        <f t="shared" si="11"/>
        <v>0</v>
      </c>
      <c r="L19" s="75">
        <f t="shared" si="12"/>
        <v>0</v>
      </c>
      <c r="M19" s="75">
        <f t="shared" si="13"/>
        <v>0</v>
      </c>
      <c r="N19" s="75">
        <f t="shared" si="14"/>
        <v>0</v>
      </c>
      <c r="O19" s="27">
        <f t="shared" si="15"/>
        <v>0</v>
      </c>
      <c r="P19" s="27">
        <f t="shared" si="16"/>
        <v>0</v>
      </c>
      <c r="Q19" s="27">
        <f t="shared" si="17"/>
        <v>0</v>
      </c>
      <c r="R19" s="2">
        <f>IF(H19=0,'Gefestigte LG'!BE14,IF(H19&lt;&gt;0,1,0))</f>
        <v>0</v>
      </c>
      <c r="S19" s="2">
        <f>Erfassung!P17</f>
        <v>0</v>
      </c>
      <c r="T19" s="2">
        <f t="shared" si="18"/>
        <v>0</v>
      </c>
      <c r="U19" s="2"/>
      <c r="V19" s="69">
        <v>4431</v>
      </c>
      <c r="W19" s="56" t="s">
        <v>166</v>
      </c>
      <c r="X19" s="57">
        <v>2</v>
      </c>
      <c r="Y19" s="58">
        <f t="shared" si="2"/>
        <v>484</v>
      </c>
      <c r="Z19" s="58">
        <f t="shared" si="19"/>
        <v>450</v>
      </c>
      <c r="AA19" s="58">
        <f t="shared" si="20"/>
        <v>115</v>
      </c>
      <c r="AB19" s="2" t="str">
        <f t="shared" si="5"/>
        <v xml:space="preserve">Gemeinde </v>
      </c>
      <c r="AH19" s="2">
        <f t="shared" si="7"/>
        <v>0</v>
      </c>
      <c r="AI19" s="2">
        <f t="shared" si="8"/>
        <v>0</v>
      </c>
      <c r="AJ19" s="2">
        <f t="shared" si="6"/>
        <v>0</v>
      </c>
    </row>
    <row r="20" spans="2:36" x14ac:dyDescent="0.25">
      <c r="B20" s="72">
        <f>Erfassung!B13</f>
        <v>0</v>
      </c>
      <c r="C20" s="73">
        <f>Erfassung!D13</f>
        <v>0</v>
      </c>
      <c r="D20" s="74">
        <f ca="1">IF(AND(R15=1,$O$3=1),Erfassung!O13,0)</f>
        <v>0</v>
      </c>
      <c r="E20" s="74">
        <f ca="1">IF(AND(I15&gt;0,D20&gt;0,$O$3=1),P15,0)</f>
        <v>0</v>
      </c>
      <c r="F20" s="19">
        <f ca="1">IF(AND(D20&gt;0,$O$3=1),Q15,0)</f>
        <v>0</v>
      </c>
      <c r="G20" s="75"/>
      <c r="H20" s="105">
        <f>Erfassung!N18</f>
        <v>0</v>
      </c>
      <c r="I20" s="78">
        <f t="shared" si="9"/>
        <v>0</v>
      </c>
      <c r="J20" s="75">
        <f t="shared" si="10"/>
        <v>0</v>
      </c>
      <c r="K20" s="75">
        <f t="shared" si="11"/>
        <v>0</v>
      </c>
      <c r="L20" s="75">
        <f t="shared" si="12"/>
        <v>0</v>
      </c>
      <c r="M20" s="75">
        <f t="shared" si="13"/>
        <v>0</v>
      </c>
      <c r="N20" s="75">
        <f t="shared" si="14"/>
        <v>0</v>
      </c>
      <c r="O20" s="27">
        <f t="shared" si="15"/>
        <v>0</v>
      </c>
      <c r="P20" s="27">
        <f t="shared" si="16"/>
        <v>0</v>
      </c>
      <c r="Q20" s="27">
        <f t="shared" si="17"/>
        <v>0</v>
      </c>
      <c r="R20" s="2">
        <f>IF(H20=0,'Gefestigte LG'!BE15,IF(H20&lt;&gt;0,1,0))</f>
        <v>0</v>
      </c>
      <c r="S20" s="2">
        <f>Erfassung!P18</f>
        <v>0</v>
      </c>
      <c r="T20" s="2">
        <f t="shared" si="18"/>
        <v>0</v>
      </c>
      <c r="U20" s="2"/>
      <c r="V20" s="69">
        <v>4105</v>
      </c>
      <c r="W20" s="56" t="s">
        <v>167</v>
      </c>
      <c r="X20" s="57">
        <v>1</v>
      </c>
      <c r="Y20" s="58">
        <f t="shared" si="2"/>
        <v>522</v>
      </c>
      <c r="Z20" s="58">
        <f t="shared" si="19"/>
        <v>486</v>
      </c>
      <c r="AA20" s="58">
        <f t="shared" si="20"/>
        <v>125</v>
      </c>
      <c r="AB20" s="2" t="str">
        <f t="shared" si="5"/>
        <v xml:space="preserve">Gemeinde </v>
      </c>
      <c r="AH20" s="2">
        <f t="shared" si="7"/>
        <v>0</v>
      </c>
      <c r="AI20" s="2">
        <f t="shared" si="8"/>
        <v>0</v>
      </c>
      <c r="AJ20" s="2">
        <f t="shared" si="6"/>
        <v>0</v>
      </c>
    </row>
    <row r="21" spans="2:36" x14ac:dyDescent="0.25">
      <c r="B21" s="72">
        <f>Erfassung!B14</f>
        <v>0</v>
      </c>
      <c r="C21" s="73">
        <f>Erfassung!D14</f>
        <v>0</v>
      </c>
      <c r="D21" s="74">
        <f ca="1">IF(AND(R16=1,$O$3=1),Erfassung!O14,0)</f>
        <v>0</v>
      </c>
      <c r="E21" s="74">
        <f t="shared" ref="E21:E31" ca="1" si="21">IF(AND(I16&gt;0,D21&gt;0,$O$3=1),P16,0)</f>
        <v>0</v>
      </c>
      <c r="F21" s="19">
        <f t="shared" ref="F21:F31" ca="1" si="22">IF(AND(D21&gt;0,$O$3=1),Q16,0)</f>
        <v>0</v>
      </c>
      <c r="G21" s="75"/>
      <c r="H21" s="105">
        <f>Erfassung!N19</f>
        <v>0</v>
      </c>
      <c r="I21" s="78">
        <f t="shared" si="9"/>
        <v>0</v>
      </c>
      <c r="J21" s="75">
        <f t="shared" si="10"/>
        <v>0</v>
      </c>
      <c r="K21" s="75">
        <f t="shared" si="11"/>
        <v>0</v>
      </c>
      <c r="L21" s="75">
        <f t="shared" si="12"/>
        <v>0</v>
      </c>
      <c r="M21" s="75">
        <f t="shared" si="13"/>
        <v>0</v>
      </c>
      <c r="N21" s="75">
        <f t="shared" si="14"/>
        <v>0</v>
      </c>
      <c r="O21" s="27">
        <f t="shared" si="15"/>
        <v>0</v>
      </c>
      <c r="P21" s="27">
        <f t="shared" si="16"/>
        <v>0</v>
      </c>
      <c r="Q21" s="27">
        <f t="shared" si="17"/>
        <v>0</v>
      </c>
      <c r="R21" s="2">
        <f>IF(H21=0,'Gefestigte LG'!BE16,IF(H21&lt;&gt;0,1,0))</f>
        <v>0</v>
      </c>
      <c r="S21" s="2">
        <f>Erfassung!P19</f>
        <v>0</v>
      </c>
      <c r="T21" s="2">
        <f t="shared" si="18"/>
        <v>0</v>
      </c>
      <c r="U21" s="2"/>
      <c r="V21" s="69">
        <v>4102</v>
      </c>
      <c r="W21" s="56" t="s">
        <v>168</v>
      </c>
      <c r="X21" s="57">
        <v>1</v>
      </c>
      <c r="Y21" s="58">
        <f t="shared" si="2"/>
        <v>522</v>
      </c>
      <c r="Z21" s="58">
        <f t="shared" si="19"/>
        <v>486</v>
      </c>
      <c r="AA21" s="58">
        <f t="shared" si="20"/>
        <v>125</v>
      </c>
      <c r="AB21" s="2" t="str">
        <f t="shared" si="5"/>
        <v xml:space="preserve">Gemeinde </v>
      </c>
      <c r="AH21" s="2">
        <f t="shared" si="7"/>
        <v>0</v>
      </c>
      <c r="AI21" s="2">
        <f t="shared" si="8"/>
        <v>0</v>
      </c>
      <c r="AJ21" s="2">
        <f t="shared" si="6"/>
        <v>0</v>
      </c>
    </row>
    <row r="22" spans="2:36" x14ac:dyDescent="0.25">
      <c r="B22" s="72">
        <f>Erfassung!B15</f>
        <v>0</v>
      </c>
      <c r="C22" s="73">
        <f>Erfassung!D15</f>
        <v>0</v>
      </c>
      <c r="D22" s="74">
        <f ca="1">IF(AND(R17=1,$O$3=1),Erfassung!O15,0)</f>
        <v>0</v>
      </c>
      <c r="E22" s="74">
        <f t="shared" ca="1" si="21"/>
        <v>0</v>
      </c>
      <c r="F22" s="19">
        <f t="shared" ca="1" si="22"/>
        <v>0</v>
      </c>
      <c r="G22" s="75"/>
      <c r="H22" s="105">
        <f>Erfassung!N20</f>
        <v>0</v>
      </c>
      <c r="I22" s="78">
        <f t="shared" si="9"/>
        <v>0</v>
      </c>
      <c r="J22" s="75">
        <f t="shared" si="10"/>
        <v>0</v>
      </c>
      <c r="K22" s="75">
        <f t="shared" si="11"/>
        <v>0</v>
      </c>
      <c r="L22" s="75">
        <f t="shared" si="12"/>
        <v>0</v>
      </c>
      <c r="M22" s="75">
        <f t="shared" si="13"/>
        <v>0</v>
      </c>
      <c r="N22" s="75">
        <f t="shared" si="14"/>
        <v>0</v>
      </c>
      <c r="O22" s="27">
        <f t="shared" si="15"/>
        <v>0</v>
      </c>
      <c r="P22" s="27">
        <f t="shared" si="16"/>
        <v>0</v>
      </c>
      <c r="Q22" s="27">
        <f t="shared" si="17"/>
        <v>0</v>
      </c>
      <c r="R22" s="2">
        <f>IF(H22=0,'Gefestigte LG'!BE17,IF(H22&lt;&gt;0,1,0))</f>
        <v>0</v>
      </c>
      <c r="S22" s="2">
        <f>Erfassung!P20</f>
        <v>0</v>
      </c>
      <c r="T22" s="2">
        <f t="shared" si="18"/>
        <v>0</v>
      </c>
      <c r="U22" s="2"/>
      <c r="V22" s="69">
        <v>4127</v>
      </c>
      <c r="W22" s="56" t="s">
        <v>169</v>
      </c>
      <c r="X22" s="57">
        <v>1</v>
      </c>
      <c r="Y22" s="58">
        <f t="shared" si="2"/>
        <v>522</v>
      </c>
      <c r="Z22" s="58">
        <f t="shared" si="19"/>
        <v>486</v>
      </c>
      <c r="AA22" s="58">
        <f t="shared" si="20"/>
        <v>125</v>
      </c>
      <c r="AB22" s="2" t="str">
        <f t="shared" si="5"/>
        <v xml:space="preserve">Gemeinde </v>
      </c>
      <c r="AH22" s="2">
        <f t="shared" si="7"/>
        <v>0</v>
      </c>
      <c r="AI22" s="2">
        <f t="shared" si="8"/>
        <v>0</v>
      </c>
      <c r="AJ22" s="2">
        <f t="shared" si="6"/>
        <v>0</v>
      </c>
    </row>
    <row r="23" spans="2:36" x14ac:dyDescent="0.25">
      <c r="B23" s="72">
        <f>Erfassung!B16</f>
        <v>0</v>
      </c>
      <c r="C23" s="73">
        <f>Erfassung!D16</f>
        <v>0</v>
      </c>
      <c r="D23" s="74">
        <f ca="1">IF(AND(R18=1,$O$3=1),Erfassung!O16,0)</f>
        <v>0</v>
      </c>
      <c r="E23" s="74">
        <f t="shared" ca="1" si="21"/>
        <v>0</v>
      </c>
      <c r="F23" s="19">
        <f t="shared" ca="1" si="22"/>
        <v>0</v>
      </c>
      <c r="G23" s="75"/>
      <c r="H23" s="105">
        <f>Erfassung!N21</f>
        <v>0</v>
      </c>
      <c r="I23" s="78">
        <f t="shared" si="9"/>
        <v>0</v>
      </c>
      <c r="J23" s="75">
        <f t="shared" si="10"/>
        <v>0</v>
      </c>
      <c r="K23" s="75">
        <f t="shared" si="11"/>
        <v>0</v>
      </c>
      <c r="L23" s="75">
        <f t="shared" si="12"/>
        <v>0</v>
      </c>
      <c r="M23" s="75">
        <f t="shared" si="13"/>
        <v>0</v>
      </c>
      <c r="N23" s="75">
        <f t="shared" si="14"/>
        <v>0</v>
      </c>
      <c r="O23" s="27">
        <f t="shared" si="15"/>
        <v>0</v>
      </c>
      <c r="P23" s="27">
        <f t="shared" si="16"/>
        <v>0</v>
      </c>
      <c r="Q23" s="27">
        <f t="shared" si="17"/>
        <v>0</v>
      </c>
      <c r="R23" s="2">
        <f>IF(H23=0,'Gefestigte LG'!BE18,IF(H23&lt;&gt;0,1,0))</f>
        <v>0</v>
      </c>
      <c r="S23" s="2">
        <f>Erfassung!P21</f>
        <v>0</v>
      </c>
      <c r="T23" s="2">
        <f t="shared" si="18"/>
        <v>0</v>
      </c>
      <c r="U23" s="2"/>
      <c r="V23" s="69">
        <v>4223</v>
      </c>
      <c r="W23" s="56" t="s">
        <v>170</v>
      </c>
      <c r="X23" s="57">
        <v>2</v>
      </c>
      <c r="Y23" s="58">
        <f t="shared" si="2"/>
        <v>484</v>
      </c>
      <c r="Z23" s="58">
        <f t="shared" si="19"/>
        <v>450</v>
      </c>
      <c r="AA23" s="58">
        <f t="shared" si="20"/>
        <v>115</v>
      </c>
      <c r="AB23" s="2" t="str">
        <f t="shared" si="5"/>
        <v xml:space="preserve">Gemeinde </v>
      </c>
      <c r="AH23" s="2">
        <f t="shared" si="7"/>
        <v>0</v>
      </c>
      <c r="AI23" s="2">
        <f t="shared" si="8"/>
        <v>0</v>
      </c>
      <c r="AJ23" s="2">
        <f t="shared" si="6"/>
        <v>0</v>
      </c>
    </row>
    <row r="24" spans="2:36" x14ac:dyDescent="0.25">
      <c r="B24" s="72">
        <f>Erfassung!B17</f>
        <v>0</v>
      </c>
      <c r="C24" s="73">
        <f>Erfassung!D17</f>
        <v>0</v>
      </c>
      <c r="D24" s="74">
        <f ca="1">IF(AND(R19=1,$O$3=1),Erfassung!O17,0)</f>
        <v>0</v>
      </c>
      <c r="E24" s="74">
        <f t="shared" ca="1" si="21"/>
        <v>0</v>
      </c>
      <c r="F24" s="19">
        <f t="shared" ca="1" si="22"/>
        <v>0</v>
      </c>
      <c r="G24" s="75"/>
      <c r="H24" s="105">
        <f>Erfassung!N22</f>
        <v>0</v>
      </c>
      <c r="I24" s="78">
        <f t="shared" si="9"/>
        <v>0</v>
      </c>
      <c r="J24" s="75">
        <f t="shared" si="10"/>
        <v>0</v>
      </c>
      <c r="K24" s="75">
        <f t="shared" si="11"/>
        <v>0</v>
      </c>
      <c r="L24" s="75">
        <f t="shared" si="12"/>
        <v>0</v>
      </c>
      <c r="M24" s="75">
        <f t="shared" si="13"/>
        <v>0</v>
      </c>
      <c r="N24" s="75">
        <f t="shared" si="14"/>
        <v>0</v>
      </c>
      <c r="O24" s="27">
        <f t="shared" si="15"/>
        <v>0</v>
      </c>
      <c r="P24" s="27">
        <f t="shared" si="16"/>
        <v>0</v>
      </c>
      <c r="Q24" s="27">
        <f t="shared" si="17"/>
        <v>0</v>
      </c>
      <c r="R24" s="2">
        <f>IF(H24=0,'Gefestigte LG'!BE19,IF(H24&lt;&gt;0,1,0))</f>
        <v>0</v>
      </c>
      <c r="S24" s="2">
        <f>Erfassung!P22</f>
        <v>0</v>
      </c>
      <c r="T24" s="2">
        <f t="shared" si="18"/>
        <v>0</v>
      </c>
      <c r="U24" s="2"/>
      <c r="V24" s="69">
        <v>4461</v>
      </c>
      <c r="W24" s="56" t="s">
        <v>171</v>
      </c>
      <c r="X24" s="57">
        <v>2</v>
      </c>
      <c r="Y24" s="58">
        <f t="shared" si="2"/>
        <v>484</v>
      </c>
      <c r="Z24" s="58">
        <f t="shared" si="19"/>
        <v>450</v>
      </c>
      <c r="AA24" s="58">
        <f t="shared" si="20"/>
        <v>115</v>
      </c>
      <c r="AB24" s="2" t="str">
        <f t="shared" si="5"/>
        <v xml:space="preserve">Gemeinde </v>
      </c>
      <c r="AH24" s="2">
        <f t="shared" si="7"/>
        <v>0</v>
      </c>
      <c r="AI24" s="2">
        <f t="shared" si="8"/>
        <v>0</v>
      </c>
      <c r="AJ24" s="2">
        <f t="shared" si="6"/>
        <v>0</v>
      </c>
    </row>
    <row r="25" spans="2:36" x14ac:dyDescent="0.25">
      <c r="B25" s="72">
        <f>Erfassung!B18</f>
        <v>0</v>
      </c>
      <c r="C25" s="73">
        <f>Erfassung!D18</f>
        <v>0</v>
      </c>
      <c r="D25" s="74">
        <f ca="1">IF(AND(R20=1,$O$3=1),Erfassung!O18,0)</f>
        <v>0</v>
      </c>
      <c r="E25" s="74">
        <f t="shared" ca="1" si="21"/>
        <v>0</v>
      </c>
      <c r="F25" s="19">
        <f t="shared" ca="1" si="22"/>
        <v>0</v>
      </c>
      <c r="G25" s="75"/>
      <c r="H25" s="105">
        <f>Erfassung!N23</f>
        <v>0</v>
      </c>
      <c r="I25" s="78">
        <f t="shared" si="9"/>
        <v>0</v>
      </c>
      <c r="J25" s="75">
        <f t="shared" si="10"/>
        <v>0</v>
      </c>
      <c r="K25" s="75">
        <f t="shared" si="11"/>
        <v>0</v>
      </c>
      <c r="L25" s="75">
        <f t="shared" si="12"/>
        <v>0</v>
      </c>
      <c r="M25" s="75">
        <f t="shared" si="13"/>
        <v>0</v>
      </c>
      <c r="N25" s="75">
        <f t="shared" si="14"/>
        <v>0</v>
      </c>
      <c r="O25" s="27">
        <f t="shared" si="15"/>
        <v>0</v>
      </c>
      <c r="P25" s="27">
        <f t="shared" si="16"/>
        <v>0</v>
      </c>
      <c r="Q25" s="27">
        <f t="shared" si="17"/>
        <v>0</v>
      </c>
      <c r="R25" s="2">
        <f>IF(H25=0,'Gefestigte LG'!BE20,IF(H25&lt;&gt;0,1,0))</f>
        <v>0</v>
      </c>
      <c r="S25" s="2">
        <f>Erfassung!P23</f>
        <v>0</v>
      </c>
      <c r="T25" s="2">
        <f t="shared" si="18"/>
        <v>0</v>
      </c>
      <c r="U25" s="2"/>
      <c r="V25" s="69">
        <v>4103</v>
      </c>
      <c r="W25" s="56" t="s">
        <v>172</v>
      </c>
      <c r="X25" s="57">
        <v>1</v>
      </c>
      <c r="Y25" s="58">
        <f t="shared" si="2"/>
        <v>522</v>
      </c>
      <c r="Z25" s="58">
        <f t="shared" si="19"/>
        <v>486</v>
      </c>
      <c r="AA25" s="58">
        <f t="shared" si="20"/>
        <v>125</v>
      </c>
      <c r="AB25" s="2" t="str">
        <f t="shared" si="5"/>
        <v xml:space="preserve">Gemeinde </v>
      </c>
      <c r="AH25" s="2">
        <f t="shared" si="7"/>
        <v>0</v>
      </c>
      <c r="AI25" s="2">
        <f t="shared" si="8"/>
        <v>0</v>
      </c>
      <c r="AJ25" s="2">
        <f t="shared" si="6"/>
        <v>0</v>
      </c>
    </row>
    <row r="26" spans="2:36" x14ac:dyDescent="0.25">
      <c r="B26" s="72">
        <f>Erfassung!B19</f>
        <v>0</v>
      </c>
      <c r="C26" s="73">
        <f>Erfassung!D19</f>
        <v>0</v>
      </c>
      <c r="D26" s="74">
        <f ca="1">IF(AND(R21=1,$O$3=1),Erfassung!O19,0)</f>
        <v>0</v>
      </c>
      <c r="E26" s="74">
        <f t="shared" ca="1" si="21"/>
        <v>0</v>
      </c>
      <c r="F26" s="19">
        <f t="shared" ca="1" si="22"/>
        <v>0</v>
      </c>
      <c r="G26" s="75"/>
      <c r="H26" s="105">
        <f>Erfassung!N24</f>
        <v>0</v>
      </c>
      <c r="I26" s="78">
        <f t="shared" si="9"/>
        <v>0</v>
      </c>
      <c r="J26" s="75">
        <f t="shared" si="10"/>
        <v>0</v>
      </c>
      <c r="K26" s="75">
        <f t="shared" si="11"/>
        <v>0</v>
      </c>
      <c r="L26" s="75">
        <f t="shared" si="12"/>
        <v>0</v>
      </c>
      <c r="M26" s="75">
        <f t="shared" si="13"/>
        <v>0</v>
      </c>
      <c r="N26" s="75">
        <f t="shared" si="14"/>
        <v>0</v>
      </c>
      <c r="O26" s="27">
        <f t="shared" si="15"/>
        <v>0</v>
      </c>
      <c r="P26" s="27">
        <f t="shared" si="16"/>
        <v>0</v>
      </c>
      <c r="Q26" s="27">
        <f t="shared" si="17"/>
        <v>0</v>
      </c>
      <c r="R26" s="2">
        <f>IF(H26=0,'Gefestigte LG'!BE21,IF(H26&lt;&gt;0,1,0))</f>
        <v>0</v>
      </c>
      <c r="S26" s="2">
        <f>Erfassung!P24</f>
        <v>0</v>
      </c>
      <c r="T26" s="2">
        <f t="shared" si="18"/>
        <v>0</v>
      </c>
      <c r="U26" s="2"/>
      <c r="V26" s="69">
        <v>4207</v>
      </c>
      <c r="W26" s="56" t="s">
        <v>173</v>
      </c>
      <c r="X26" s="57">
        <v>2</v>
      </c>
      <c r="Y26" s="58">
        <f t="shared" si="2"/>
        <v>484</v>
      </c>
      <c r="Z26" s="58">
        <f t="shared" si="19"/>
        <v>450</v>
      </c>
      <c r="AA26" s="58">
        <f t="shared" si="20"/>
        <v>115</v>
      </c>
      <c r="AB26" s="2" t="str">
        <f t="shared" si="5"/>
        <v xml:space="preserve">Gemeinde </v>
      </c>
      <c r="AH26" s="2">
        <f t="shared" si="7"/>
        <v>0</v>
      </c>
      <c r="AI26" s="2">
        <f t="shared" si="8"/>
        <v>0</v>
      </c>
      <c r="AJ26" s="2">
        <f t="shared" si="6"/>
        <v>0</v>
      </c>
    </row>
    <row r="27" spans="2:36" x14ac:dyDescent="0.25">
      <c r="B27" s="72">
        <f>Erfassung!B20</f>
        <v>0</v>
      </c>
      <c r="C27" s="73">
        <f>Erfassung!D20</f>
        <v>0</v>
      </c>
      <c r="D27" s="74">
        <f ca="1">IF(AND(R22=1,$O$3=1),Erfassung!O20,0)</f>
        <v>0</v>
      </c>
      <c r="E27" s="74">
        <f t="shared" ca="1" si="21"/>
        <v>0</v>
      </c>
      <c r="F27" s="19">
        <f t="shared" ca="1" si="22"/>
        <v>0</v>
      </c>
      <c r="T27" s="2">
        <f>SUM(T15:T26)</f>
        <v>0</v>
      </c>
      <c r="V27" s="69">
        <v>4225</v>
      </c>
      <c r="W27" s="56" t="s">
        <v>174</v>
      </c>
      <c r="X27" s="57">
        <v>2</v>
      </c>
      <c r="Y27" s="58">
        <f t="shared" si="2"/>
        <v>484</v>
      </c>
      <c r="Z27" s="58">
        <f t="shared" si="19"/>
        <v>450</v>
      </c>
      <c r="AA27" s="58">
        <f t="shared" si="20"/>
        <v>115</v>
      </c>
      <c r="AB27" s="2" t="str">
        <f t="shared" si="5"/>
        <v xml:space="preserve">Gemeinde </v>
      </c>
      <c r="AH27" s="2">
        <f t="shared" si="7"/>
        <v>0</v>
      </c>
      <c r="AI27" s="2">
        <f t="shared" si="8"/>
        <v>0</v>
      </c>
      <c r="AJ27" s="2">
        <f t="shared" si="6"/>
        <v>0</v>
      </c>
    </row>
    <row r="28" spans="2:36" x14ac:dyDescent="0.25">
      <c r="B28" s="72">
        <f>Erfassung!B21</f>
        <v>0</v>
      </c>
      <c r="C28" s="73">
        <f>Erfassung!D21</f>
        <v>0</v>
      </c>
      <c r="D28" s="74">
        <f ca="1">IF(AND(R23=1,$O$3=1),Erfassung!O21,0)</f>
        <v>0</v>
      </c>
      <c r="E28" s="74">
        <f t="shared" ca="1" si="21"/>
        <v>0</v>
      </c>
      <c r="F28" s="19">
        <f t="shared" ca="1" si="22"/>
        <v>0</v>
      </c>
      <c r="V28" s="69">
        <v>4416</v>
      </c>
      <c r="W28" s="56" t="s">
        <v>175</v>
      </c>
      <c r="X28" s="57">
        <v>1</v>
      </c>
      <c r="Y28" s="58">
        <f t="shared" si="2"/>
        <v>522</v>
      </c>
      <c r="Z28" s="58">
        <f t="shared" si="19"/>
        <v>486</v>
      </c>
      <c r="AA28" s="58">
        <f t="shared" si="20"/>
        <v>125</v>
      </c>
      <c r="AB28" s="2" t="str">
        <f t="shared" si="5"/>
        <v xml:space="preserve">Gemeinde </v>
      </c>
      <c r="AH28" s="2">
        <f t="shared" si="7"/>
        <v>0</v>
      </c>
      <c r="AI28" s="2">
        <f t="shared" si="8"/>
        <v>0</v>
      </c>
      <c r="AJ28" s="2">
        <f t="shared" si="6"/>
        <v>0</v>
      </c>
    </row>
    <row r="29" spans="2:36" x14ac:dyDescent="0.25">
      <c r="B29" s="72">
        <f>Erfassung!B22</f>
        <v>0</v>
      </c>
      <c r="C29" s="73">
        <f>Erfassung!D22</f>
        <v>0</v>
      </c>
      <c r="D29" s="74">
        <f ca="1">IF(AND(R24=1,$O$3=1),Erfassung!O22,0)</f>
        <v>0</v>
      </c>
      <c r="E29" s="74">
        <f t="shared" ca="1" si="21"/>
        <v>0</v>
      </c>
      <c r="F29" s="19">
        <f t="shared" ca="1" si="22"/>
        <v>0</v>
      </c>
      <c r="V29" s="69">
        <v>4446</v>
      </c>
      <c r="W29" s="56" t="s">
        <v>176</v>
      </c>
      <c r="X29" s="57">
        <v>2</v>
      </c>
      <c r="Y29" s="58">
        <f t="shared" si="2"/>
        <v>484</v>
      </c>
      <c r="Z29" s="58">
        <f t="shared" si="19"/>
        <v>450</v>
      </c>
      <c r="AA29" s="58">
        <f t="shared" si="20"/>
        <v>115</v>
      </c>
      <c r="AB29" s="2" t="str">
        <f t="shared" si="5"/>
        <v xml:space="preserve">Gemeinde </v>
      </c>
      <c r="AH29" s="2">
        <f t="shared" si="7"/>
        <v>0</v>
      </c>
      <c r="AI29" s="2">
        <f t="shared" si="8"/>
        <v>0</v>
      </c>
      <c r="AJ29" s="2">
        <f t="shared" si="6"/>
        <v>0</v>
      </c>
    </row>
    <row r="30" spans="2:36" x14ac:dyDescent="0.25">
      <c r="B30" s="72">
        <f>Erfassung!B23</f>
        <v>0</v>
      </c>
      <c r="C30" s="73">
        <f>Erfassung!D23</f>
        <v>0</v>
      </c>
      <c r="D30" s="74">
        <f ca="1">IF(AND(R25=1,$O$3=1),Erfassung!O23,0)</f>
        <v>0</v>
      </c>
      <c r="E30" s="74">
        <f t="shared" ca="1" si="21"/>
        <v>0</v>
      </c>
      <c r="F30" s="19">
        <f t="shared" ca="1" si="22"/>
        <v>0</v>
      </c>
      <c r="J30" s="2" t="s">
        <v>335</v>
      </c>
      <c r="V30" s="69">
        <v>4117</v>
      </c>
      <c r="W30" s="56" t="s">
        <v>177</v>
      </c>
      <c r="X30" s="57">
        <v>2</v>
      </c>
      <c r="Y30" s="58">
        <f t="shared" si="2"/>
        <v>484</v>
      </c>
      <c r="Z30" s="58">
        <f t="shared" si="19"/>
        <v>450</v>
      </c>
      <c r="AA30" s="58">
        <f t="shared" si="20"/>
        <v>115</v>
      </c>
      <c r="AB30" s="2" t="str">
        <f t="shared" si="5"/>
        <v xml:space="preserve">Gemeinde </v>
      </c>
      <c r="AH30" s="2">
        <f t="shared" si="7"/>
        <v>0</v>
      </c>
      <c r="AI30" s="2">
        <f t="shared" si="8"/>
        <v>0</v>
      </c>
      <c r="AJ30" s="2">
        <f t="shared" si="6"/>
        <v>0</v>
      </c>
    </row>
    <row r="31" spans="2:36" x14ac:dyDescent="0.25">
      <c r="B31" s="72">
        <f>Erfassung!B24</f>
        <v>0</v>
      </c>
      <c r="C31" s="73">
        <f>Erfassung!D24</f>
        <v>0</v>
      </c>
      <c r="D31" s="74">
        <f ca="1">IF(AND(R26=1,$O$3=1),Erfassung!O24,0)</f>
        <v>0</v>
      </c>
      <c r="E31" s="74">
        <f t="shared" ca="1" si="21"/>
        <v>0</v>
      </c>
      <c r="F31" s="19">
        <f t="shared" ca="1" si="22"/>
        <v>0</v>
      </c>
      <c r="V31" s="69">
        <v>4463</v>
      </c>
      <c r="W31" s="56" t="s">
        <v>178</v>
      </c>
      <c r="X31" s="57">
        <v>2</v>
      </c>
      <c r="Y31" s="58">
        <f t="shared" si="2"/>
        <v>484</v>
      </c>
      <c r="Z31" s="58">
        <f t="shared" si="19"/>
        <v>450</v>
      </c>
      <c r="AA31" s="58">
        <f t="shared" si="20"/>
        <v>115</v>
      </c>
      <c r="AB31" s="2" t="str">
        <f t="shared" si="5"/>
        <v xml:space="preserve">Gemeinde </v>
      </c>
      <c r="AH31" s="2">
        <f t="shared" si="7"/>
        <v>0</v>
      </c>
      <c r="AI31" s="2">
        <f t="shared" si="8"/>
        <v>0</v>
      </c>
      <c r="AJ31" s="2">
        <f t="shared" si="6"/>
        <v>0</v>
      </c>
    </row>
    <row r="32" spans="2:36" x14ac:dyDescent="0.25">
      <c r="B32" s="45" t="s">
        <v>269</v>
      </c>
      <c r="D32" s="82">
        <f ca="1">SUM(D20:D31)</f>
        <v>0</v>
      </c>
      <c r="E32" s="82">
        <f t="shared" ref="E32:F32" ca="1" si="23">SUM(E20:E31)</f>
        <v>0</v>
      </c>
      <c r="F32" s="83">
        <f t="shared" ca="1" si="23"/>
        <v>0</v>
      </c>
      <c r="J32" s="76">
        <f ca="1">IF(D32&gt;E32,J30,0)</f>
        <v>0</v>
      </c>
      <c r="V32" s="69">
        <v>4457</v>
      </c>
      <c r="W32" s="56" t="s">
        <v>179</v>
      </c>
      <c r="X32" s="57">
        <v>2</v>
      </c>
      <c r="Y32" s="58">
        <f t="shared" si="2"/>
        <v>484</v>
      </c>
      <c r="Z32" s="58">
        <f t="shared" si="19"/>
        <v>450</v>
      </c>
      <c r="AA32" s="58">
        <f t="shared" si="20"/>
        <v>115</v>
      </c>
      <c r="AB32" s="2" t="str">
        <f t="shared" si="5"/>
        <v xml:space="preserve">Gemeinde </v>
      </c>
      <c r="AH32" s="2">
        <f t="shared" si="7"/>
        <v>0</v>
      </c>
      <c r="AI32" s="2">
        <f t="shared" si="8"/>
        <v>0</v>
      </c>
      <c r="AJ32" s="2">
        <f t="shared" si="6"/>
        <v>0</v>
      </c>
    </row>
    <row r="33" spans="2:36" x14ac:dyDescent="0.25">
      <c r="V33" s="69">
        <v>4442</v>
      </c>
      <c r="W33" s="56" t="s">
        <v>180</v>
      </c>
      <c r="X33" s="57">
        <v>2</v>
      </c>
      <c r="Y33" s="58">
        <f t="shared" si="2"/>
        <v>484</v>
      </c>
      <c r="Z33" s="58">
        <f t="shared" ref="Z33:Z96" si="24">IF(X33=$AC$3,$AE$3,IF(X33=$AC$4,$AE$4))</f>
        <v>450</v>
      </c>
      <c r="AA33" s="58">
        <f t="shared" ref="AA33:AA96" si="25">IF(X33=$AC$3,$AF$3,IF(X33=$AC$4,$AF$4,0))</f>
        <v>115</v>
      </c>
      <c r="AB33" s="2" t="str">
        <f t="shared" si="5"/>
        <v xml:space="preserve">Gemeinde </v>
      </c>
      <c r="AH33" s="2">
        <f t="shared" si="7"/>
        <v>0</v>
      </c>
      <c r="AI33" s="2">
        <f t="shared" si="8"/>
        <v>0</v>
      </c>
      <c r="AJ33" s="2">
        <f t="shared" si="6"/>
        <v>0</v>
      </c>
    </row>
    <row r="34" spans="2:36" x14ac:dyDescent="0.25">
      <c r="V34" s="69">
        <v>4243</v>
      </c>
      <c r="W34" s="56" t="s">
        <v>181</v>
      </c>
      <c r="X34" s="57">
        <v>2</v>
      </c>
      <c r="Y34" s="58">
        <f t="shared" si="2"/>
        <v>484</v>
      </c>
      <c r="Z34" s="58">
        <f t="shared" si="24"/>
        <v>450</v>
      </c>
      <c r="AA34" s="58">
        <f t="shared" si="25"/>
        <v>115</v>
      </c>
      <c r="AB34" s="2" t="str">
        <f t="shared" si="5"/>
        <v xml:space="preserve">Gemeinde </v>
      </c>
      <c r="AH34" s="2">
        <f t="shared" si="7"/>
        <v>0</v>
      </c>
      <c r="AI34" s="2">
        <f t="shared" si="8"/>
        <v>0</v>
      </c>
      <c r="AJ34" s="2">
        <f t="shared" si="6"/>
        <v>0</v>
      </c>
    </row>
    <row r="35" spans="2:36" x14ac:dyDescent="0.25">
      <c r="B35" s="76" t="s">
        <v>473</v>
      </c>
      <c r="V35" s="69">
        <v>4202</v>
      </c>
      <c r="W35" s="56" t="s">
        <v>182</v>
      </c>
      <c r="X35" s="57">
        <v>2</v>
      </c>
      <c r="Y35" s="58">
        <f t="shared" si="2"/>
        <v>484</v>
      </c>
      <c r="Z35" s="58">
        <f t="shared" si="24"/>
        <v>450</v>
      </c>
      <c r="AA35" s="58">
        <f t="shared" si="25"/>
        <v>115</v>
      </c>
      <c r="AB35" s="2" t="str">
        <f t="shared" si="5"/>
        <v xml:space="preserve">Gemeinde </v>
      </c>
      <c r="AH35" s="2">
        <f t="shared" si="7"/>
        <v>0</v>
      </c>
      <c r="AI35" s="2">
        <f t="shared" si="8"/>
        <v>0</v>
      </c>
      <c r="AJ35" s="2">
        <f t="shared" si="6"/>
        <v>0</v>
      </c>
    </row>
    <row r="36" spans="2:36" x14ac:dyDescent="0.25">
      <c r="B36" s="76" t="s">
        <v>470</v>
      </c>
      <c r="V36" s="69">
        <v>4458</v>
      </c>
      <c r="W36" s="56" t="s">
        <v>183</v>
      </c>
      <c r="X36" s="57">
        <v>2</v>
      </c>
      <c r="Y36" s="58">
        <f t="shared" si="2"/>
        <v>484</v>
      </c>
      <c r="Z36" s="58">
        <f t="shared" si="24"/>
        <v>450</v>
      </c>
      <c r="AA36" s="58">
        <f t="shared" si="25"/>
        <v>115</v>
      </c>
      <c r="AB36" s="2" t="str">
        <f t="shared" si="5"/>
        <v xml:space="preserve">Gemeinde </v>
      </c>
      <c r="AH36" s="2">
        <f t="shared" si="7"/>
        <v>0</v>
      </c>
      <c r="AI36" s="2">
        <f t="shared" si="8"/>
        <v>0</v>
      </c>
      <c r="AJ36" s="2">
        <f t="shared" si="6"/>
        <v>0</v>
      </c>
    </row>
    <row r="37" spans="2:36" x14ac:dyDescent="0.25">
      <c r="B37" s="76" t="s">
        <v>468</v>
      </c>
      <c r="V37" s="69">
        <v>4107</v>
      </c>
      <c r="W37" s="56" t="s">
        <v>184</v>
      </c>
      <c r="X37" s="57">
        <v>1</v>
      </c>
      <c r="Y37" s="58">
        <f t="shared" si="2"/>
        <v>522</v>
      </c>
      <c r="Z37" s="58">
        <f t="shared" si="24"/>
        <v>486</v>
      </c>
      <c r="AA37" s="58">
        <f t="shared" si="25"/>
        <v>125</v>
      </c>
      <c r="AB37" s="2" t="str">
        <f t="shared" si="5"/>
        <v xml:space="preserve">Gemeinde </v>
      </c>
      <c r="AH37" s="2">
        <f t="shared" si="7"/>
        <v>0</v>
      </c>
      <c r="AI37" s="2">
        <f t="shared" si="8"/>
        <v>0</v>
      </c>
      <c r="AJ37" s="2">
        <f t="shared" si="6"/>
        <v>0</v>
      </c>
    </row>
    <row r="38" spans="2:36" x14ac:dyDescent="0.25">
      <c r="B38" s="76" t="s">
        <v>480</v>
      </c>
      <c r="V38" s="69">
        <v>4402</v>
      </c>
      <c r="W38" s="56" t="s">
        <v>185</v>
      </c>
      <c r="X38" s="57">
        <v>1</v>
      </c>
      <c r="Y38" s="58">
        <f t="shared" si="2"/>
        <v>522</v>
      </c>
      <c r="Z38" s="58">
        <f t="shared" si="24"/>
        <v>486</v>
      </c>
      <c r="AA38" s="58">
        <f t="shared" si="25"/>
        <v>125</v>
      </c>
      <c r="AB38" s="2" t="str">
        <f t="shared" si="5"/>
        <v xml:space="preserve">Gemeinde </v>
      </c>
      <c r="AH38" s="2">
        <f t="shared" si="7"/>
        <v>0</v>
      </c>
      <c r="AI38" s="2">
        <f t="shared" si="8"/>
        <v>0</v>
      </c>
      <c r="AJ38" s="2">
        <f t="shared" si="6"/>
        <v>0</v>
      </c>
    </row>
    <row r="39" spans="2:36" x14ac:dyDescent="0.25">
      <c r="B39" s="76" t="s">
        <v>469</v>
      </c>
      <c r="V39" s="69">
        <v>4414</v>
      </c>
      <c r="W39" s="56" t="s">
        <v>186</v>
      </c>
      <c r="X39" s="57">
        <v>1</v>
      </c>
      <c r="Y39" s="58">
        <f t="shared" si="2"/>
        <v>522</v>
      </c>
      <c r="Z39" s="58">
        <f t="shared" si="24"/>
        <v>486</v>
      </c>
      <c r="AA39" s="58">
        <f t="shared" si="25"/>
        <v>125</v>
      </c>
      <c r="AB39" s="2" t="str">
        <f t="shared" si="5"/>
        <v xml:space="preserve">Gemeinde </v>
      </c>
      <c r="AH39" s="2">
        <f t="shared" si="7"/>
        <v>0</v>
      </c>
      <c r="AI39" s="2">
        <f t="shared" si="8"/>
        <v>0</v>
      </c>
      <c r="AJ39" s="2">
        <f t="shared" si="6"/>
        <v>0</v>
      </c>
    </row>
    <row r="40" spans="2:36" x14ac:dyDescent="0.25">
      <c r="B40" s="76" t="s">
        <v>471</v>
      </c>
      <c r="V40" s="69">
        <v>4460</v>
      </c>
      <c r="W40" s="56" t="s">
        <v>187</v>
      </c>
      <c r="X40" s="57">
        <v>2</v>
      </c>
      <c r="Y40" s="58">
        <f t="shared" si="2"/>
        <v>484</v>
      </c>
      <c r="Z40" s="58">
        <f t="shared" si="24"/>
        <v>450</v>
      </c>
      <c r="AA40" s="58">
        <f t="shared" si="25"/>
        <v>115</v>
      </c>
      <c r="AB40" s="2" t="str">
        <f t="shared" si="5"/>
        <v xml:space="preserve">Gemeinde </v>
      </c>
      <c r="AH40" s="2">
        <f t="shared" si="7"/>
        <v>0</v>
      </c>
      <c r="AI40" s="2">
        <f t="shared" si="8"/>
        <v>0</v>
      </c>
      <c r="AJ40" s="2">
        <f t="shared" si="6"/>
        <v>0</v>
      </c>
    </row>
    <row r="41" spans="2:36" x14ac:dyDescent="0.25">
      <c r="B41" s="76" t="s">
        <v>472</v>
      </c>
      <c r="V41" s="69">
        <v>4304</v>
      </c>
      <c r="W41" s="56" t="s">
        <v>188</v>
      </c>
      <c r="X41" s="57">
        <v>2</v>
      </c>
      <c r="Y41" s="58">
        <f t="shared" si="2"/>
        <v>484</v>
      </c>
      <c r="Z41" s="58">
        <f t="shared" si="24"/>
        <v>450</v>
      </c>
      <c r="AA41" s="58">
        <f t="shared" si="25"/>
        <v>115</v>
      </c>
      <c r="AB41" s="2" t="str">
        <f t="shared" si="5"/>
        <v xml:space="preserve">Gemeinde </v>
      </c>
      <c r="AH41" s="2">
        <f t="shared" si="7"/>
        <v>0</v>
      </c>
      <c r="AI41" s="2">
        <f t="shared" si="8"/>
        <v>0</v>
      </c>
      <c r="AJ41" s="2">
        <f t="shared" si="6"/>
        <v>0</v>
      </c>
    </row>
    <row r="42" spans="2:36" x14ac:dyDescent="0.25">
      <c r="B42" s="76" t="s">
        <v>474</v>
      </c>
      <c r="V42" s="69">
        <v>4203</v>
      </c>
      <c r="W42" s="56" t="s">
        <v>189</v>
      </c>
      <c r="X42" s="57">
        <v>2</v>
      </c>
      <c r="Y42" s="58">
        <f t="shared" si="2"/>
        <v>484</v>
      </c>
      <c r="Z42" s="58">
        <f t="shared" si="24"/>
        <v>450</v>
      </c>
      <c r="AA42" s="58">
        <f t="shared" si="25"/>
        <v>115</v>
      </c>
      <c r="AB42" s="2" t="str">
        <f t="shared" si="5"/>
        <v xml:space="preserve">Gemeinde </v>
      </c>
      <c r="AH42" s="2">
        <f t="shared" si="7"/>
        <v>0</v>
      </c>
      <c r="AI42" s="2">
        <f t="shared" si="8"/>
        <v>0</v>
      </c>
      <c r="AJ42" s="2">
        <f t="shared" si="6"/>
        <v>0</v>
      </c>
    </row>
    <row r="43" spans="2:36" x14ac:dyDescent="0.25">
      <c r="V43" s="69">
        <v>4445</v>
      </c>
      <c r="W43" s="56" t="s">
        <v>190</v>
      </c>
      <c r="X43" s="57">
        <v>2</v>
      </c>
      <c r="Y43" s="58">
        <f t="shared" si="2"/>
        <v>484</v>
      </c>
      <c r="Z43" s="58">
        <f t="shared" si="24"/>
        <v>450</v>
      </c>
      <c r="AA43" s="58">
        <f t="shared" si="25"/>
        <v>115</v>
      </c>
      <c r="AB43" s="2" t="str">
        <f t="shared" si="5"/>
        <v xml:space="preserve">Gemeinde </v>
      </c>
      <c r="AH43" s="2">
        <f t="shared" si="7"/>
        <v>0</v>
      </c>
      <c r="AI43" s="2">
        <f t="shared" si="8"/>
        <v>0</v>
      </c>
      <c r="AJ43" s="2">
        <f t="shared" si="6"/>
        <v>0</v>
      </c>
    </row>
    <row r="44" spans="2:36" x14ac:dyDescent="0.25">
      <c r="V44" s="69">
        <v>4465</v>
      </c>
      <c r="W44" s="56" t="s">
        <v>191</v>
      </c>
      <c r="X44" s="57">
        <v>2</v>
      </c>
      <c r="Y44" s="58">
        <f t="shared" si="2"/>
        <v>484</v>
      </c>
      <c r="Z44" s="58">
        <f t="shared" si="24"/>
        <v>450</v>
      </c>
      <c r="AA44" s="58">
        <f t="shared" si="25"/>
        <v>115</v>
      </c>
      <c r="AB44" s="2" t="str">
        <f t="shared" si="5"/>
        <v xml:space="preserve">Gemeinde </v>
      </c>
      <c r="AH44" s="2">
        <f t="shared" si="7"/>
        <v>0</v>
      </c>
      <c r="AI44" s="2">
        <f t="shared" si="8"/>
        <v>0</v>
      </c>
      <c r="AJ44" s="2">
        <f t="shared" si="6"/>
        <v>0</v>
      </c>
    </row>
    <row r="45" spans="2:36" x14ac:dyDescent="0.25">
      <c r="V45" s="69">
        <v>4423</v>
      </c>
      <c r="W45" s="56" t="s">
        <v>192</v>
      </c>
      <c r="X45" s="57">
        <v>2</v>
      </c>
      <c r="Y45" s="58">
        <f t="shared" si="2"/>
        <v>484</v>
      </c>
      <c r="Z45" s="58">
        <f t="shared" si="24"/>
        <v>450</v>
      </c>
      <c r="AA45" s="58">
        <f t="shared" si="25"/>
        <v>115</v>
      </c>
      <c r="AB45" s="2" t="str">
        <f t="shared" si="5"/>
        <v xml:space="preserve">Gemeinde </v>
      </c>
      <c r="AH45" s="2">
        <f t="shared" si="7"/>
        <v>0</v>
      </c>
      <c r="AI45" s="2">
        <f t="shared" si="8"/>
        <v>0</v>
      </c>
      <c r="AJ45" s="2">
        <f t="shared" si="6"/>
        <v>0</v>
      </c>
    </row>
    <row r="46" spans="2:36" x14ac:dyDescent="0.25">
      <c r="V46" s="69">
        <v>4434</v>
      </c>
      <c r="W46" s="56" t="s">
        <v>193</v>
      </c>
      <c r="X46" s="57">
        <v>2</v>
      </c>
      <c r="Y46" s="58">
        <f t="shared" si="2"/>
        <v>484</v>
      </c>
      <c r="Z46" s="58">
        <f t="shared" si="24"/>
        <v>450</v>
      </c>
      <c r="AA46" s="58">
        <f t="shared" si="25"/>
        <v>115</v>
      </c>
      <c r="AB46" s="2" t="str">
        <f t="shared" si="5"/>
        <v xml:space="preserve">Gemeinde </v>
      </c>
      <c r="AH46" s="2">
        <f t="shared" si="7"/>
        <v>0</v>
      </c>
      <c r="AI46" s="2">
        <f t="shared" si="8"/>
        <v>0</v>
      </c>
      <c r="AJ46" s="2">
        <f t="shared" si="6"/>
        <v>0</v>
      </c>
    </row>
    <row r="47" spans="2:36" x14ac:dyDescent="0.25">
      <c r="V47" s="69">
        <v>4452</v>
      </c>
      <c r="W47" s="56" t="s">
        <v>194</v>
      </c>
      <c r="X47" s="57">
        <v>2</v>
      </c>
      <c r="Y47" s="58">
        <f t="shared" si="2"/>
        <v>484</v>
      </c>
      <c r="Z47" s="58">
        <f t="shared" si="24"/>
        <v>450</v>
      </c>
      <c r="AA47" s="58">
        <f t="shared" si="25"/>
        <v>115</v>
      </c>
      <c r="AB47" s="2" t="str">
        <f t="shared" si="5"/>
        <v xml:space="preserve">Gemeinde </v>
      </c>
      <c r="AH47" s="2">
        <f t="shared" si="7"/>
        <v>0</v>
      </c>
      <c r="AI47" s="2">
        <f t="shared" si="8"/>
        <v>0</v>
      </c>
      <c r="AJ47" s="2">
        <f t="shared" si="6"/>
        <v>0</v>
      </c>
    </row>
    <row r="48" spans="2:36" x14ac:dyDescent="0.25">
      <c r="V48" s="69">
        <v>4447</v>
      </c>
      <c r="W48" s="56" t="s">
        <v>195</v>
      </c>
      <c r="X48" s="57">
        <v>2</v>
      </c>
      <c r="Y48" s="58">
        <f t="shared" si="2"/>
        <v>484</v>
      </c>
      <c r="Z48" s="58">
        <f t="shared" si="24"/>
        <v>450</v>
      </c>
      <c r="AA48" s="58">
        <f t="shared" si="25"/>
        <v>115</v>
      </c>
      <c r="AB48" s="2" t="str">
        <f t="shared" si="5"/>
        <v xml:space="preserve">Gemeinde </v>
      </c>
      <c r="AH48" s="2">
        <f t="shared" si="7"/>
        <v>0</v>
      </c>
      <c r="AI48" s="2">
        <f t="shared" si="8"/>
        <v>0</v>
      </c>
      <c r="AJ48" s="2">
        <f t="shared" si="6"/>
        <v>0</v>
      </c>
    </row>
    <row r="49" spans="22:36" x14ac:dyDescent="0.25">
      <c r="V49" s="69">
        <v>4496</v>
      </c>
      <c r="W49" s="56" t="s">
        <v>196</v>
      </c>
      <c r="X49" s="57">
        <v>2</v>
      </c>
      <c r="Y49" s="58">
        <f t="shared" si="2"/>
        <v>484</v>
      </c>
      <c r="Z49" s="58">
        <f t="shared" si="24"/>
        <v>450</v>
      </c>
      <c r="AA49" s="58">
        <f t="shared" si="25"/>
        <v>115</v>
      </c>
      <c r="AB49" s="2" t="str">
        <f t="shared" si="5"/>
        <v xml:space="preserve">Gemeinde </v>
      </c>
      <c r="AH49" s="2">
        <f t="shared" si="7"/>
        <v>0</v>
      </c>
      <c r="AI49" s="2">
        <f t="shared" si="8"/>
        <v>0</v>
      </c>
      <c r="AJ49" s="2">
        <f t="shared" si="6"/>
        <v>0</v>
      </c>
    </row>
    <row r="50" spans="22:36" x14ac:dyDescent="0.25">
      <c r="V50" s="69">
        <v>4432</v>
      </c>
      <c r="W50" s="56" t="s">
        <v>197</v>
      </c>
      <c r="X50" s="57">
        <v>2</v>
      </c>
      <c r="Y50" s="58">
        <f t="shared" si="2"/>
        <v>484</v>
      </c>
      <c r="Z50" s="58">
        <f t="shared" si="24"/>
        <v>450</v>
      </c>
      <c r="AA50" s="58">
        <f t="shared" si="25"/>
        <v>115</v>
      </c>
      <c r="AB50" s="2" t="str">
        <f t="shared" si="5"/>
        <v xml:space="preserve">Gemeinde </v>
      </c>
      <c r="AH50" s="2">
        <f t="shared" si="7"/>
        <v>0</v>
      </c>
      <c r="AI50" s="2">
        <f t="shared" si="8"/>
        <v>0</v>
      </c>
      <c r="AJ50" s="2">
        <f t="shared" si="6"/>
        <v>0</v>
      </c>
    </row>
    <row r="51" spans="22:36" x14ac:dyDescent="0.25">
      <c r="V51" s="69">
        <v>4438</v>
      </c>
      <c r="W51" s="56" t="s">
        <v>198</v>
      </c>
      <c r="X51" s="57">
        <v>2</v>
      </c>
      <c r="Y51" s="58">
        <f t="shared" si="2"/>
        <v>484</v>
      </c>
      <c r="Z51" s="58">
        <f t="shared" si="24"/>
        <v>450</v>
      </c>
      <c r="AA51" s="58">
        <f t="shared" si="25"/>
        <v>115</v>
      </c>
      <c r="AB51" s="2" t="str">
        <f t="shared" si="5"/>
        <v xml:space="preserve">Gemeinde </v>
      </c>
      <c r="AH51" s="2">
        <f t="shared" si="7"/>
        <v>0</v>
      </c>
      <c r="AI51" s="2">
        <f t="shared" si="8"/>
        <v>0</v>
      </c>
      <c r="AJ51" s="2">
        <f t="shared" si="6"/>
        <v>0</v>
      </c>
    </row>
    <row r="52" spans="22:36" x14ac:dyDescent="0.25">
      <c r="V52" s="69">
        <v>4448</v>
      </c>
      <c r="W52" s="56" t="s">
        <v>199</v>
      </c>
      <c r="X52" s="57">
        <v>2</v>
      </c>
      <c r="Y52" s="58">
        <f t="shared" si="2"/>
        <v>484</v>
      </c>
      <c r="Z52" s="58">
        <f t="shared" si="24"/>
        <v>450</v>
      </c>
      <c r="AA52" s="58">
        <f t="shared" si="25"/>
        <v>115</v>
      </c>
      <c r="AB52" s="2" t="str">
        <f t="shared" si="5"/>
        <v xml:space="preserve">Gemeinde </v>
      </c>
      <c r="AH52" s="2">
        <f t="shared" si="7"/>
        <v>0</v>
      </c>
      <c r="AI52" s="2">
        <f t="shared" si="8"/>
        <v>0</v>
      </c>
      <c r="AJ52" s="2">
        <f t="shared" si="6"/>
        <v>0</v>
      </c>
    </row>
    <row r="53" spans="22:36" x14ac:dyDescent="0.25">
      <c r="V53" s="69">
        <v>4242</v>
      </c>
      <c r="W53" s="56" t="s">
        <v>200</v>
      </c>
      <c r="X53" s="57">
        <v>2</v>
      </c>
      <c r="Y53" s="58">
        <f t="shared" si="2"/>
        <v>484</v>
      </c>
      <c r="Z53" s="58">
        <f t="shared" si="24"/>
        <v>450</v>
      </c>
      <c r="AA53" s="58">
        <f t="shared" si="25"/>
        <v>115</v>
      </c>
      <c r="AB53" s="2" t="str">
        <f t="shared" si="5"/>
        <v xml:space="preserve">Stadt </v>
      </c>
      <c r="AH53" s="2">
        <f t="shared" si="7"/>
        <v>0</v>
      </c>
      <c r="AI53" s="2">
        <f t="shared" si="8"/>
        <v>0</v>
      </c>
      <c r="AJ53" s="2">
        <f t="shared" si="6"/>
        <v>0</v>
      </c>
    </row>
    <row r="54" spans="22:36" x14ac:dyDescent="0.25">
      <c r="V54" s="69">
        <v>4415</v>
      </c>
      <c r="W54" s="56" t="s">
        <v>201</v>
      </c>
      <c r="X54" s="57">
        <v>1</v>
      </c>
      <c r="Y54" s="58">
        <f t="shared" si="2"/>
        <v>522</v>
      </c>
      <c r="Z54" s="58">
        <f t="shared" si="24"/>
        <v>486</v>
      </c>
      <c r="AA54" s="58">
        <f t="shared" si="25"/>
        <v>125</v>
      </c>
      <c r="AB54" s="2" t="str">
        <f t="shared" si="5"/>
        <v xml:space="preserve">Gemeinde </v>
      </c>
      <c r="AH54" s="2">
        <f t="shared" si="7"/>
        <v>0</v>
      </c>
      <c r="AI54" s="2">
        <f t="shared" si="8"/>
        <v>0</v>
      </c>
      <c r="AJ54" s="2">
        <f t="shared" si="6"/>
        <v>0</v>
      </c>
    </row>
    <row r="55" spans="22:36" x14ac:dyDescent="0.25">
      <c r="V55" s="69">
        <v>4426</v>
      </c>
      <c r="W55" s="56" t="s">
        <v>202</v>
      </c>
      <c r="X55" s="57">
        <v>2</v>
      </c>
      <c r="Y55" s="58">
        <f t="shared" si="2"/>
        <v>484</v>
      </c>
      <c r="Z55" s="58">
        <f t="shared" si="24"/>
        <v>450</v>
      </c>
      <c r="AA55" s="58">
        <f t="shared" si="25"/>
        <v>115</v>
      </c>
      <c r="AB55" s="2" t="str">
        <f t="shared" si="5"/>
        <v xml:space="preserve">Gemeinde </v>
      </c>
      <c r="AH55" s="2">
        <f t="shared" si="7"/>
        <v>0</v>
      </c>
      <c r="AI55" s="2">
        <f t="shared" si="8"/>
        <v>0</v>
      </c>
      <c r="AJ55" s="2">
        <f t="shared" si="6"/>
        <v>0</v>
      </c>
    </row>
    <row r="56" spans="22:36" x14ac:dyDescent="0.25">
      <c r="V56" s="69">
        <v>4436</v>
      </c>
      <c r="W56" s="56" t="s">
        <v>203</v>
      </c>
      <c r="X56" s="57">
        <v>2</v>
      </c>
      <c r="Y56" s="58">
        <f t="shared" si="2"/>
        <v>484</v>
      </c>
      <c r="Z56" s="58">
        <f t="shared" si="24"/>
        <v>450</v>
      </c>
      <c r="AA56" s="58">
        <f t="shared" si="25"/>
        <v>115</v>
      </c>
      <c r="AB56" s="2" t="str">
        <f t="shared" si="5"/>
        <v xml:space="preserve">Gemeinde </v>
      </c>
      <c r="AH56" s="2">
        <f t="shared" si="7"/>
        <v>0</v>
      </c>
      <c r="AI56" s="2">
        <f t="shared" si="8"/>
        <v>0</v>
      </c>
      <c r="AJ56" s="2">
        <f t="shared" si="6"/>
        <v>0</v>
      </c>
    </row>
    <row r="57" spans="22:36" x14ac:dyDescent="0.25">
      <c r="V57" s="69">
        <v>4253</v>
      </c>
      <c r="W57" s="56" t="s">
        <v>204</v>
      </c>
      <c r="X57" s="57">
        <v>2</v>
      </c>
      <c r="Y57" s="58">
        <f t="shared" si="2"/>
        <v>484</v>
      </c>
      <c r="Z57" s="58">
        <f t="shared" si="24"/>
        <v>450</v>
      </c>
      <c r="AA57" s="58">
        <f t="shared" si="25"/>
        <v>115</v>
      </c>
      <c r="AB57" s="2" t="str">
        <f t="shared" si="5"/>
        <v xml:space="preserve">Gemeinde </v>
      </c>
      <c r="AH57" s="2">
        <f t="shared" si="7"/>
        <v>0</v>
      </c>
      <c r="AI57" s="2">
        <f t="shared" si="8"/>
        <v>0</v>
      </c>
      <c r="AJ57" s="2">
        <f t="shared" si="6"/>
        <v>0</v>
      </c>
    </row>
    <row r="58" spans="22:36" x14ac:dyDescent="0.25">
      <c r="V58" s="69">
        <v>4410</v>
      </c>
      <c r="W58" s="56" t="s">
        <v>205</v>
      </c>
      <c r="X58" s="57">
        <v>1</v>
      </c>
      <c r="Y58" s="58">
        <f t="shared" si="2"/>
        <v>522</v>
      </c>
      <c r="Z58" s="58">
        <f t="shared" si="24"/>
        <v>486</v>
      </c>
      <c r="AA58" s="58">
        <f t="shared" si="25"/>
        <v>125</v>
      </c>
      <c r="AB58" s="2" t="str">
        <f t="shared" si="5"/>
        <v xml:space="preserve">Stadt </v>
      </c>
      <c r="AH58" s="2">
        <f t="shared" si="7"/>
        <v>0</v>
      </c>
      <c r="AI58" s="2">
        <f t="shared" si="8"/>
        <v>0</v>
      </c>
      <c r="AJ58" s="2">
        <f t="shared" si="6"/>
        <v>0</v>
      </c>
    </row>
    <row r="59" spans="22:36" x14ac:dyDescent="0.25">
      <c r="V59" s="69">
        <v>4419</v>
      </c>
      <c r="W59" s="56" t="s">
        <v>206</v>
      </c>
      <c r="X59" s="57">
        <v>2</v>
      </c>
      <c r="Y59" s="58">
        <f t="shared" si="2"/>
        <v>484</v>
      </c>
      <c r="Z59" s="58">
        <f t="shared" si="24"/>
        <v>450</v>
      </c>
      <c r="AA59" s="58">
        <f t="shared" si="25"/>
        <v>115</v>
      </c>
      <c r="AB59" s="2" t="str">
        <f t="shared" si="5"/>
        <v xml:space="preserve">Gemeinde </v>
      </c>
      <c r="AH59" s="2">
        <f t="shared" si="7"/>
        <v>0</v>
      </c>
      <c r="AI59" s="2">
        <f t="shared" si="8"/>
        <v>0</v>
      </c>
      <c r="AJ59" s="2">
        <f t="shared" si="6"/>
        <v>0</v>
      </c>
    </row>
    <row r="60" spans="22:36" x14ac:dyDescent="0.25">
      <c r="V60" s="69">
        <v>4464</v>
      </c>
      <c r="W60" s="56" t="s">
        <v>207</v>
      </c>
      <c r="X60" s="57">
        <v>2</v>
      </c>
      <c r="Y60" s="58">
        <f t="shared" si="2"/>
        <v>484</v>
      </c>
      <c r="Z60" s="58">
        <f t="shared" si="24"/>
        <v>450</v>
      </c>
      <c r="AA60" s="58">
        <f t="shared" si="25"/>
        <v>115</v>
      </c>
      <c r="AB60" s="2" t="str">
        <f t="shared" si="5"/>
        <v xml:space="preserve">Gemeinde </v>
      </c>
      <c r="AH60" s="2">
        <f t="shared" si="7"/>
        <v>0</v>
      </c>
      <c r="AI60" s="2">
        <f t="shared" si="8"/>
        <v>0</v>
      </c>
      <c r="AJ60" s="2">
        <f t="shared" si="6"/>
        <v>0</v>
      </c>
    </row>
    <row r="61" spans="22:36" x14ac:dyDescent="0.25">
      <c r="V61" s="69">
        <v>4142</v>
      </c>
      <c r="W61" s="56" t="s">
        <v>208</v>
      </c>
      <c r="X61" s="57">
        <v>1</v>
      </c>
      <c r="Y61" s="58">
        <f t="shared" si="2"/>
        <v>522</v>
      </c>
      <c r="Z61" s="58">
        <f t="shared" si="24"/>
        <v>486</v>
      </c>
      <c r="AA61" s="58">
        <f t="shared" si="25"/>
        <v>125</v>
      </c>
      <c r="AB61" s="2" t="str">
        <f t="shared" si="5"/>
        <v xml:space="preserve">Gemeinde </v>
      </c>
      <c r="AH61" s="2">
        <f t="shared" si="7"/>
        <v>0</v>
      </c>
      <c r="AI61" s="2">
        <f t="shared" si="8"/>
        <v>0</v>
      </c>
      <c r="AJ61" s="2">
        <f t="shared" si="6"/>
        <v>0</v>
      </c>
    </row>
    <row r="62" spans="22:36" x14ac:dyDescent="0.25">
      <c r="V62" s="69">
        <v>4132</v>
      </c>
      <c r="W62" s="56" t="s">
        <v>209</v>
      </c>
      <c r="X62" s="57">
        <v>1</v>
      </c>
      <c r="Y62" s="58">
        <f t="shared" si="2"/>
        <v>522</v>
      </c>
      <c r="Z62" s="58">
        <f t="shared" si="24"/>
        <v>486</v>
      </c>
      <c r="AA62" s="58">
        <f t="shared" si="25"/>
        <v>125</v>
      </c>
      <c r="AB62" s="2" t="str">
        <f t="shared" si="5"/>
        <v xml:space="preserve">Gemeinde </v>
      </c>
      <c r="AH62" s="2">
        <f t="shared" si="7"/>
        <v>0</v>
      </c>
      <c r="AI62" s="2">
        <f t="shared" si="8"/>
        <v>0</v>
      </c>
      <c r="AJ62" s="2">
        <f t="shared" si="6"/>
        <v>0</v>
      </c>
    </row>
    <row r="63" spans="22:36" x14ac:dyDescent="0.25">
      <c r="V63" s="69">
        <v>4224</v>
      </c>
      <c r="W63" s="56" t="s">
        <v>210</v>
      </c>
      <c r="X63" s="57">
        <v>2</v>
      </c>
      <c r="Y63" s="58">
        <f t="shared" si="2"/>
        <v>484</v>
      </c>
      <c r="Z63" s="58">
        <f t="shared" si="24"/>
        <v>450</v>
      </c>
      <c r="AA63" s="58">
        <f t="shared" si="25"/>
        <v>115</v>
      </c>
      <c r="AB63" s="2" t="str">
        <f t="shared" si="5"/>
        <v xml:space="preserve">Gemeinde </v>
      </c>
      <c r="AH63" s="2">
        <f t="shared" si="7"/>
        <v>0</v>
      </c>
      <c r="AI63" s="2">
        <f t="shared" si="8"/>
        <v>0</v>
      </c>
      <c r="AJ63" s="2">
        <f t="shared" si="6"/>
        <v>0</v>
      </c>
    </row>
    <row r="64" spans="22:36" x14ac:dyDescent="0.25">
      <c r="V64" s="69">
        <v>4435</v>
      </c>
      <c r="W64" s="56" t="s">
        <v>211</v>
      </c>
      <c r="X64" s="57">
        <v>2</v>
      </c>
      <c r="Y64" s="58">
        <f t="shared" si="2"/>
        <v>484</v>
      </c>
      <c r="Z64" s="58">
        <f t="shared" si="24"/>
        <v>450</v>
      </c>
      <c r="AA64" s="58">
        <f t="shared" si="25"/>
        <v>115</v>
      </c>
      <c r="AB64" s="2" t="str">
        <f t="shared" si="5"/>
        <v xml:space="preserve">Gemeinde </v>
      </c>
      <c r="AH64" s="2">
        <f t="shared" si="7"/>
        <v>0</v>
      </c>
      <c r="AI64" s="2">
        <f t="shared" si="8"/>
        <v>0</v>
      </c>
      <c r="AJ64" s="2">
        <f t="shared" si="6"/>
        <v>0</v>
      </c>
    </row>
    <row r="65" spans="22:36" x14ac:dyDescent="0.25">
      <c r="V65" s="69">
        <v>4453</v>
      </c>
      <c r="W65" s="56" t="s">
        <v>212</v>
      </c>
      <c r="X65" s="57">
        <v>2</v>
      </c>
      <c r="Y65" s="58">
        <f t="shared" si="2"/>
        <v>484</v>
      </c>
      <c r="Z65" s="58">
        <f t="shared" si="24"/>
        <v>450</v>
      </c>
      <c r="AA65" s="58">
        <f t="shared" si="25"/>
        <v>115</v>
      </c>
      <c r="AB65" s="2" t="str">
        <f t="shared" si="5"/>
        <v xml:space="preserve">Gemeinde </v>
      </c>
      <c r="AH65" s="2">
        <f t="shared" si="7"/>
        <v>0</v>
      </c>
      <c r="AI65" s="2">
        <f t="shared" si="8"/>
        <v>0</v>
      </c>
      <c r="AJ65" s="2">
        <f t="shared" si="6"/>
        <v>0</v>
      </c>
    </row>
    <row r="66" spans="22:36" x14ac:dyDescent="0.25">
      <c r="V66" s="69">
        <v>4436</v>
      </c>
      <c r="W66" s="56" t="s">
        <v>213</v>
      </c>
      <c r="X66" s="57">
        <v>2</v>
      </c>
      <c r="Y66" s="58">
        <f t="shared" si="2"/>
        <v>484</v>
      </c>
      <c r="Z66" s="58">
        <f t="shared" si="24"/>
        <v>450</v>
      </c>
      <c r="AA66" s="58">
        <f t="shared" si="25"/>
        <v>115</v>
      </c>
      <c r="AB66" s="2" t="str">
        <f t="shared" si="5"/>
        <v xml:space="preserve">Gemeinde </v>
      </c>
      <c r="AH66" s="2">
        <f t="shared" si="7"/>
        <v>0</v>
      </c>
      <c r="AI66" s="2">
        <f t="shared" si="8"/>
        <v>0</v>
      </c>
      <c r="AJ66" s="2">
        <f t="shared" si="6"/>
        <v>0</v>
      </c>
    </row>
    <row r="67" spans="22:36" x14ac:dyDescent="0.25">
      <c r="V67" s="69">
        <v>4104</v>
      </c>
      <c r="W67" s="56" t="s">
        <v>214</v>
      </c>
      <c r="X67" s="57">
        <v>1</v>
      </c>
      <c r="Y67" s="58">
        <f t="shared" si="2"/>
        <v>522</v>
      </c>
      <c r="Z67" s="58">
        <f t="shared" si="24"/>
        <v>486</v>
      </c>
      <c r="AA67" s="58">
        <f t="shared" si="25"/>
        <v>125</v>
      </c>
      <c r="AB67" s="2" t="str">
        <f t="shared" si="5"/>
        <v xml:space="preserve">Gemeinde </v>
      </c>
      <c r="AH67" s="2">
        <f t="shared" si="7"/>
        <v>0</v>
      </c>
      <c r="AI67" s="2">
        <f t="shared" si="8"/>
        <v>0</v>
      </c>
      <c r="AJ67" s="2">
        <f t="shared" si="6"/>
        <v>0</v>
      </c>
    </row>
    <row r="68" spans="22:36" x14ac:dyDescent="0.25">
      <c r="V68" s="69">
        <v>4494</v>
      </c>
      <c r="W68" s="56" t="s">
        <v>215</v>
      </c>
      <c r="X68" s="57">
        <v>2</v>
      </c>
      <c r="Y68" s="58">
        <f t="shared" si="2"/>
        <v>484</v>
      </c>
      <c r="Z68" s="58">
        <f t="shared" si="24"/>
        <v>450</v>
      </c>
      <c r="AA68" s="58">
        <f t="shared" si="25"/>
        <v>115</v>
      </c>
      <c r="AB68" s="2" t="str">
        <f t="shared" si="5"/>
        <v xml:space="preserve">Gemeinde </v>
      </c>
      <c r="AH68" s="2">
        <f t="shared" si="7"/>
        <v>0</v>
      </c>
      <c r="AI68" s="2">
        <f t="shared" si="8"/>
        <v>0</v>
      </c>
      <c r="AJ68" s="2">
        <f t="shared" si="6"/>
        <v>0</v>
      </c>
    </row>
    <row r="69" spans="22:36" x14ac:dyDescent="0.25">
      <c r="V69" s="69">
        <v>4466</v>
      </c>
      <c r="W69" s="56" t="s">
        <v>216</v>
      </c>
      <c r="X69" s="57">
        <v>2</v>
      </c>
      <c r="Y69" s="58">
        <f t="shared" si="2"/>
        <v>484</v>
      </c>
      <c r="Z69" s="58">
        <f t="shared" si="24"/>
        <v>450</v>
      </c>
      <c r="AA69" s="58">
        <f t="shared" si="25"/>
        <v>115</v>
      </c>
      <c r="AB69" s="2" t="str">
        <f t="shared" si="5"/>
        <v xml:space="preserve">Gemeinde </v>
      </c>
      <c r="AH69" s="2">
        <f t="shared" si="7"/>
        <v>0</v>
      </c>
      <c r="AI69" s="2">
        <f t="shared" si="8"/>
        <v>0</v>
      </c>
      <c r="AJ69" s="2">
        <f t="shared" si="6"/>
        <v>0</v>
      </c>
    </row>
    <row r="70" spans="22:36" x14ac:dyDescent="0.25">
      <c r="V70" s="69">
        <v>4148</v>
      </c>
      <c r="W70" s="56" t="s">
        <v>217</v>
      </c>
      <c r="X70" s="57">
        <v>1</v>
      </c>
      <c r="Y70" s="58">
        <f t="shared" si="2"/>
        <v>522</v>
      </c>
      <c r="Z70" s="58">
        <f t="shared" si="24"/>
        <v>486</v>
      </c>
      <c r="AA70" s="58">
        <f t="shared" si="25"/>
        <v>125</v>
      </c>
      <c r="AB70" s="2" t="str">
        <f t="shared" si="5"/>
        <v xml:space="preserve">Gemeinde </v>
      </c>
      <c r="AH70" s="2">
        <f t="shared" si="7"/>
        <v>0</v>
      </c>
      <c r="AI70" s="2">
        <f t="shared" si="8"/>
        <v>0</v>
      </c>
      <c r="AJ70" s="2">
        <f t="shared" si="6"/>
        <v>0</v>
      </c>
    </row>
    <row r="71" spans="22:36" x14ac:dyDescent="0.25">
      <c r="V71" s="69">
        <v>4133</v>
      </c>
      <c r="W71" s="56" t="s">
        <v>218</v>
      </c>
      <c r="X71" s="57">
        <v>1</v>
      </c>
      <c r="Y71" s="58">
        <f t="shared" si="2"/>
        <v>522</v>
      </c>
      <c r="Z71" s="58">
        <f t="shared" si="24"/>
        <v>486</v>
      </c>
      <c r="AA71" s="58">
        <f t="shared" si="25"/>
        <v>125</v>
      </c>
      <c r="AB71" s="2" t="str">
        <f t="shared" si="5"/>
        <v xml:space="preserve">Gemeinde </v>
      </c>
      <c r="AH71" s="2">
        <f t="shared" si="7"/>
        <v>0</v>
      </c>
      <c r="AI71" s="2">
        <f t="shared" si="8"/>
        <v>0</v>
      </c>
      <c r="AJ71" s="2">
        <f t="shared" si="6"/>
        <v>0</v>
      </c>
    </row>
    <row r="72" spans="22:36" x14ac:dyDescent="0.25">
      <c r="V72" s="69">
        <v>4433</v>
      </c>
      <c r="W72" s="56" t="s">
        <v>219</v>
      </c>
      <c r="X72" s="57">
        <v>2</v>
      </c>
      <c r="Y72" s="58">
        <f t="shared" si="2"/>
        <v>484</v>
      </c>
      <c r="Z72" s="58">
        <f t="shared" si="24"/>
        <v>450</v>
      </c>
      <c r="AA72" s="58">
        <f t="shared" si="25"/>
        <v>115</v>
      </c>
      <c r="AB72" s="2" t="str">
        <f t="shared" si="5"/>
        <v xml:space="preserve">Gemeinde </v>
      </c>
      <c r="AH72" s="2">
        <f t="shared" si="7"/>
        <v>0</v>
      </c>
      <c r="AI72" s="2">
        <f t="shared" si="8"/>
        <v>0</v>
      </c>
      <c r="AJ72" s="2">
        <f t="shared" si="6"/>
        <v>0</v>
      </c>
    </row>
    <row r="73" spans="22:36" x14ac:dyDescent="0.25">
      <c r="V73" s="69">
        <v>4418</v>
      </c>
      <c r="W73" s="56" t="s">
        <v>220</v>
      </c>
      <c r="X73" s="57">
        <v>2</v>
      </c>
      <c r="Y73" s="58">
        <f t="shared" si="2"/>
        <v>484</v>
      </c>
      <c r="Z73" s="58">
        <f t="shared" si="24"/>
        <v>450</v>
      </c>
      <c r="AA73" s="58">
        <f t="shared" si="25"/>
        <v>115</v>
      </c>
      <c r="AB73" s="2" t="str">
        <f t="shared" si="5"/>
        <v xml:space="preserve">Gemeinde </v>
      </c>
      <c r="AH73" s="2">
        <f t="shared" si="7"/>
        <v>0</v>
      </c>
      <c r="AI73" s="2">
        <f t="shared" si="8"/>
        <v>0</v>
      </c>
      <c r="AJ73" s="2">
        <f t="shared" si="6"/>
        <v>0</v>
      </c>
    </row>
    <row r="74" spans="22:36" x14ac:dyDescent="0.25">
      <c r="V74" s="69">
        <v>4153</v>
      </c>
      <c r="W74" s="56" t="s">
        <v>221</v>
      </c>
      <c r="X74" s="57">
        <v>1</v>
      </c>
      <c r="Y74" s="58">
        <f t="shared" si="2"/>
        <v>522</v>
      </c>
      <c r="Z74" s="58">
        <f t="shared" si="24"/>
        <v>486</v>
      </c>
      <c r="AA74" s="58">
        <f t="shared" si="25"/>
        <v>125</v>
      </c>
      <c r="AB74" s="2" t="str">
        <f t="shared" si="5"/>
        <v xml:space="preserve">Gemeinde </v>
      </c>
      <c r="AH74" s="2">
        <f t="shared" si="7"/>
        <v>0</v>
      </c>
      <c r="AI74" s="2">
        <f t="shared" si="8"/>
        <v>0</v>
      </c>
      <c r="AJ74" s="2">
        <f t="shared" si="6"/>
        <v>0</v>
      </c>
    </row>
    <row r="75" spans="22:36" x14ac:dyDescent="0.25">
      <c r="V75" s="69">
        <v>4462</v>
      </c>
      <c r="W75" s="56" t="s">
        <v>222</v>
      </c>
      <c r="X75" s="57">
        <v>2</v>
      </c>
      <c r="Y75" s="58">
        <f t="shared" si="2"/>
        <v>484</v>
      </c>
      <c r="Z75" s="58">
        <f t="shared" si="24"/>
        <v>450</v>
      </c>
      <c r="AA75" s="58">
        <f t="shared" si="25"/>
        <v>115</v>
      </c>
      <c r="AB75" s="2" t="str">
        <f t="shared" si="5"/>
        <v xml:space="preserve">Gemeinde </v>
      </c>
      <c r="AH75" s="2">
        <f t="shared" si="7"/>
        <v>0</v>
      </c>
      <c r="AI75" s="2">
        <f t="shared" si="8"/>
        <v>0</v>
      </c>
      <c r="AJ75" s="2">
        <f t="shared" si="6"/>
        <v>0</v>
      </c>
    </row>
    <row r="76" spans="22:36" x14ac:dyDescent="0.25">
      <c r="V76" s="69">
        <v>2814</v>
      </c>
      <c r="W76" s="56" t="s">
        <v>223</v>
      </c>
      <c r="X76" s="57">
        <v>2</v>
      </c>
      <c r="Y76" s="58">
        <f t="shared" si="2"/>
        <v>484</v>
      </c>
      <c r="Z76" s="58">
        <f t="shared" si="24"/>
        <v>450</v>
      </c>
      <c r="AA76" s="58">
        <f t="shared" si="25"/>
        <v>115</v>
      </c>
      <c r="AB76" s="2" t="str">
        <f t="shared" si="5"/>
        <v xml:space="preserve">Gemeinde </v>
      </c>
      <c r="AH76" s="2">
        <f t="shared" si="7"/>
        <v>0</v>
      </c>
      <c r="AI76" s="2">
        <f t="shared" si="8"/>
        <v>0</v>
      </c>
      <c r="AJ76" s="2">
        <f t="shared" si="6"/>
        <v>0</v>
      </c>
    </row>
    <row r="77" spans="22:36" x14ac:dyDescent="0.25">
      <c r="V77" s="69">
        <v>4244</v>
      </c>
      <c r="W77" s="56" t="s">
        <v>224</v>
      </c>
      <c r="X77" s="57">
        <v>2</v>
      </c>
      <c r="Y77" s="58">
        <f t="shared" ref="Y77:Y98" si="26">IF(X77=$AC$3,$AD$3,IF(X77=$AC$4,$AD$4,0))</f>
        <v>484</v>
      </c>
      <c r="Z77" s="58">
        <f t="shared" si="24"/>
        <v>450</v>
      </c>
      <c r="AA77" s="58">
        <f t="shared" si="25"/>
        <v>115</v>
      </c>
      <c r="AB77" s="2" t="str">
        <f t="shared" ref="AB77:AB98" si="27">IF(OR(W77=$AB$8,W77=$AB$9),$AB$7,$AB$6)</f>
        <v xml:space="preserve">Gemeinde </v>
      </c>
      <c r="AH77" s="2">
        <f t="shared" si="7"/>
        <v>0</v>
      </c>
      <c r="AI77" s="2">
        <f t="shared" si="8"/>
        <v>0</v>
      </c>
      <c r="AJ77" s="2">
        <f t="shared" ref="AJ77:AJ98" si="28">IF(AH77=V77,X77,0)</f>
        <v>0</v>
      </c>
    </row>
    <row r="78" spans="22:36" x14ac:dyDescent="0.25">
      <c r="V78" s="69">
        <v>4467</v>
      </c>
      <c r="W78" s="56" t="s">
        <v>225</v>
      </c>
      <c r="X78" s="57">
        <v>2</v>
      </c>
      <c r="Y78" s="58">
        <f t="shared" si="26"/>
        <v>484</v>
      </c>
      <c r="Z78" s="58">
        <f t="shared" si="24"/>
        <v>450</v>
      </c>
      <c r="AA78" s="58">
        <f t="shared" si="25"/>
        <v>115</v>
      </c>
      <c r="AB78" s="2" t="str">
        <f t="shared" si="27"/>
        <v xml:space="preserve">Gemeinde </v>
      </c>
      <c r="AH78" s="2">
        <f t="shared" ref="AH78:AH98" si="29">IF($AH$3=V78,V78,0)</f>
        <v>0</v>
      </c>
      <c r="AI78" s="2">
        <f t="shared" ref="AI78:AI98" si="30">IF($AH$3=V78,W78,0)</f>
        <v>0</v>
      </c>
      <c r="AJ78" s="2">
        <f t="shared" si="28"/>
        <v>0</v>
      </c>
    </row>
    <row r="79" spans="22:36" x14ac:dyDescent="0.25">
      <c r="V79" s="69">
        <v>4444</v>
      </c>
      <c r="W79" s="56" t="s">
        <v>226</v>
      </c>
      <c r="X79" s="57">
        <v>2</v>
      </c>
      <c r="Y79" s="58">
        <f t="shared" si="26"/>
        <v>484</v>
      </c>
      <c r="Z79" s="58">
        <f t="shared" si="24"/>
        <v>450</v>
      </c>
      <c r="AA79" s="58">
        <f t="shared" si="25"/>
        <v>115</v>
      </c>
      <c r="AB79" s="2" t="str">
        <f t="shared" si="27"/>
        <v xml:space="preserve">Gemeinde </v>
      </c>
      <c r="AH79" s="2">
        <f t="shared" si="29"/>
        <v>0</v>
      </c>
      <c r="AI79" s="2">
        <f t="shared" si="30"/>
        <v>0</v>
      </c>
      <c r="AJ79" s="2">
        <f t="shared" si="28"/>
        <v>0</v>
      </c>
    </row>
    <row r="80" spans="22:36" x14ac:dyDescent="0.25">
      <c r="V80" s="69">
        <v>4497</v>
      </c>
      <c r="W80" s="56" t="s">
        <v>227</v>
      </c>
      <c r="X80" s="57">
        <v>2</v>
      </c>
      <c r="Y80" s="58">
        <f t="shared" si="26"/>
        <v>484</v>
      </c>
      <c r="Z80" s="58">
        <f t="shared" si="24"/>
        <v>450</v>
      </c>
      <c r="AA80" s="58">
        <f t="shared" si="25"/>
        <v>115</v>
      </c>
      <c r="AB80" s="2" t="str">
        <f t="shared" si="27"/>
        <v xml:space="preserve">Gemeinde </v>
      </c>
      <c r="AH80" s="2">
        <f t="shared" si="29"/>
        <v>0</v>
      </c>
      <c r="AI80" s="2">
        <f t="shared" si="30"/>
        <v>0</v>
      </c>
      <c r="AJ80" s="2">
        <f t="shared" si="28"/>
        <v>0</v>
      </c>
    </row>
    <row r="81" spans="22:36" x14ac:dyDescent="0.25">
      <c r="V81" s="69">
        <v>4124</v>
      </c>
      <c r="W81" s="56" t="s">
        <v>228</v>
      </c>
      <c r="X81" s="57">
        <v>1</v>
      </c>
      <c r="Y81" s="58">
        <f t="shared" si="26"/>
        <v>522</v>
      </c>
      <c r="Z81" s="58">
        <f t="shared" si="24"/>
        <v>486</v>
      </c>
      <c r="AA81" s="58">
        <f t="shared" si="25"/>
        <v>125</v>
      </c>
      <c r="AB81" s="2" t="str">
        <f t="shared" si="27"/>
        <v xml:space="preserve">Gemeinde </v>
      </c>
      <c r="AH81" s="2">
        <f t="shared" si="29"/>
        <v>0</v>
      </c>
      <c r="AI81" s="2">
        <f t="shared" si="30"/>
        <v>0</v>
      </c>
      <c r="AJ81" s="2">
        <f t="shared" si="28"/>
        <v>0</v>
      </c>
    </row>
    <row r="82" spans="22:36" x14ac:dyDescent="0.25">
      <c r="V82" s="69">
        <v>4411</v>
      </c>
      <c r="W82" s="56" t="s">
        <v>229</v>
      </c>
      <c r="X82" s="57">
        <v>2</v>
      </c>
      <c r="Y82" s="58">
        <f t="shared" si="26"/>
        <v>484</v>
      </c>
      <c r="Z82" s="58">
        <f t="shared" si="24"/>
        <v>450</v>
      </c>
      <c r="AA82" s="58">
        <f t="shared" si="25"/>
        <v>115</v>
      </c>
      <c r="AB82" s="2" t="str">
        <f t="shared" si="27"/>
        <v xml:space="preserve">Gemeinde </v>
      </c>
      <c r="AH82" s="2">
        <f t="shared" si="29"/>
        <v>0</v>
      </c>
      <c r="AI82" s="2">
        <f t="shared" si="30"/>
        <v>0</v>
      </c>
      <c r="AJ82" s="2">
        <f t="shared" si="28"/>
        <v>0</v>
      </c>
    </row>
    <row r="83" spans="22:36" x14ac:dyDescent="0.25">
      <c r="V83" s="69">
        <v>4450</v>
      </c>
      <c r="W83" s="56" t="s">
        <v>230</v>
      </c>
      <c r="X83" s="57">
        <v>2</v>
      </c>
      <c r="Y83" s="58">
        <f t="shared" si="26"/>
        <v>484</v>
      </c>
      <c r="Z83" s="58">
        <f t="shared" si="24"/>
        <v>450</v>
      </c>
      <c r="AA83" s="58">
        <f t="shared" si="25"/>
        <v>115</v>
      </c>
      <c r="AB83" s="2" t="str">
        <f t="shared" si="27"/>
        <v xml:space="preserve">Gemeinde </v>
      </c>
      <c r="AH83" s="2">
        <f t="shared" si="29"/>
        <v>0</v>
      </c>
      <c r="AI83" s="2">
        <f t="shared" si="30"/>
        <v>0</v>
      </c>
      <c r="AJ83" s="2">
        <f t="shared" si="28"/>
        <v>0</v>
      </c>
    </row>
    <row r="84" spans="22:36" x14ac:dyDescent="0.25">
      <c r="V84" s="69">
        <v>4492</v>
      </c>
      <c r="W84" s="56" t="s">
        <v>231</v>
      </c>
      <c r="X84" s="57">
        <v>2</v>
      </c>
      <c r="Y84" s="58">
        <f t="shared" si="26"/>
        <v>484</v>
      </c>
      <c r="Z84" s="58">
        <f t="shared" si="24"/>
        <v>450</v>
      </c>
      <c r="AA84" s="58">
        <f t="shared" si="25"/>
        <v>115</v>
      </c>
      <c r="AB84" s="2" t="str">
        <f t="shared" si="27"/>
        <v xml:space="preserve">Gemeinde </v>
      </c>
      <c r="AH84" s="2">
        <f t="shared" si="29"/>
        <v>0</v>
      </c>
      <c r="AI84" s="2">
        <f t="shared" si="30"/>
        <v>0</v>
      </c>
      <c r="AJ84" s="2">
        <f t="shared" si="28"/>
        <v>0</v>
      </c>
    </row>
    <row r="85" spans="22:36" x14ac:dyDescent="0.25">
      <c r="V85" s="69">
        <v>4456</v>
      </c>
      <c r="W85" s="56" t="s">
        <v>232</v>
      </c>
      <c r="X85" s="57">
        <v>2</v>
      </c>
      <c r="Y85" s="58">
        <f t="shared" si="26"/>
        <v>484</v>
      </c>
      <c r="Z85" s="58">
        <f t="shared" si="24"/>
        <v>450</v>
      </c>
      <c r="AA85" s="58">
        <f t="shared" si="25"/>
        <v>115</v>
      </c>
      <c r="AB85" s="2" t="str">
        <f t="shared" si="27"/>
        <v xml:space="preserve">Gemeinde </v>
      </c>
      <c r="AH85" s="2">
        <f t="shared" si="29"/>
        <v>0</v>
      </c>
      <c r="AI85" s="2">
        <f t="shared" si="30"/>
        <v>0</v>
      </c>
      <c r="AJ85" s="2">
        <f t="shared" si="28"/>
        <v>0</v>
      </c>
    </row>
    <row r="86" spans="22:36" x14ac:dyDescent="0.25">
      <c r="V86" s="69">
        <v>4106</v>
      </c>
      <c r="W86" s="56" t="s">
        <v>233</v>
      </c>
      <c r="X86" s="57">
        <v>1</v>
      </c>
      <c r="Y86" s="58">
        <f t="shared" si="26"/>
        <v>522</v>
      </c>
      <c r="Z86" s="58">
        <f t="shared" si="24"/>
        <v>486</v>
      </c>
      <c r="AA86" s="58">
        <f t="shared" si="25"/>
        <v>125</v>
      </c>
      <c r="AB86" s="2" t="str">
        <f t="shared" si="27"/>
        <v xml:space="preserve">Gemeinde </v>
      </c>
      <c r="AH86" s="2">
        <f t="shared" si="29"/>
        <v>0</v>
      </c>
      <c r="AI86" s="2">
        <f t="shared" si="30"/>
        <v>0</v>
      </c>
      <c r="AJ86" s="2">
        <f t="shared" si="28"/>
        <v>0</v>
      </c>
    </row>
    <row r="87" spans="22:36" x14ac:dyDescent="0.25">
      <c r="V87" s="69">
        <v>4441</v>
      </c>
      <c r="W87" s="56" t="s">
        <v>234</v>
      </c>
      <c r="X87" s="57">
        <v>2</v>
      </c>
      <c r="Y87" s="58">
        <f t="shared" si="26"/>
        <v>484</v>
      </c>
      <c r="Z87" s="58">
        <f t="shared" si="24"/>
        <v>450</v>
      </c>
      <c r="AA87" s="58">
        <f t="shared" si="25"/>
        <v>115</v>
      </c>
      <c r="AB87" s="2" t="str">
        <f t="shared" si="27"/>
        <v xml:space="preserve">Gemeinde </v>
      </c>
      <c r="AH87" s="2">
        <f t="shared" si="29"/>
        <v>0</v>
      </c>
      <c r="AI87" s="2">
        <f t="shared" si="30"/>
        <v>0</v>
      </c>
      <c r="AJ87" s="2">
        <f t="shared" si="28"/>
        <v>0</v>
      </c>
    </row>
    <row r="88" spans="22:36" x14ac:dyDescent="0.25">
      <c r="V88" s="69">
        <v>4425</v>
      </c>
      <c r="W88" s="56" t="s">
        <v>235</v>
      </c>
      <c r="X88" s="57">
        <v>2</v>
      </c>
      <c r="Y88" s="58">
        <f t="shared" si="26"/>
        <v>484</v>
      </c>
      <c r="Z88" s="58">
        <f t="shared" si="24"/>
        <v>450</v>
      </c>
      <c r="AA88" s="58">
        <f t="shared" si="25"/>
        <v>115</v>
      </c>
      <c r="AB88" s="2" t="str">
        <f t="shared" si="27"/>
        <v xml:space="preserve">Gemeinde </v>
      </c>
      <c r="AH88" s="2">
        <f t="shared" si="29"/>
        <v>0</v>
      </c>
      <c r="AI88" s="2">
        <f t="shared" si="30"/>
        <v>0</v>
      </c>
      <c r="AJ88" s="2">
        <f t="shared" si="28"/>
        <v>0</v>
      </c>
    </row>
    <row r="89" spans="22:36" x14ac:dyDescent="0.25">
      <c r="V89" s="69">
        <v>4246</v>
      </c>
      <c r="W89" s="56" t="s">
        <v>236</v>
      </c>
      <c r="X89" s="57">
        <v>2</v>
      </c>
      <c r="Y89" s="58">
        <f t="shared" si="26"/>
        <v>484</v>
      </c>
      <c r="Z89" s="58">
        <f t="shared" si="24"/>
        <v>450</v>
      </c>
      <c r="AA89" s="58">
        <f t="shared" si="25"/>
        <v>115</v>
      </c>
      <c r="AB89" s="2" t="str">
        <f t="shared" si="27"/>
        <v xml:space="preserve">Gemeinde </v>
      </c>
      <c r="AH89" s="2">
        <f t="shared" si="29"/>
        <v>0</v>
      </c>
      <c r="AI89" s="2">
        <f t="shared" si="30"/>
        <v>0</v>
      </c>
      <c r="AJ89" s="2">
        <f t="shared" si="28"/>
        <v>0</v>
      </c>
    </row>
    <row r="90" spans="22:36" x14ac:dyDescent="0.25">
      <c r="V90" s="69">
        <v>4437</v>
      </c>
      <c r="W90" s="56" t="s">
        <v>237</v>
      </c>
      <c r="X90" s="57">
        <v>2</v>
      </c>
      <c r="Y90" s="58">
        <f t="shared" si="26"/>
        <v>484</v>
      </c>
      <c r="Z90" s="58">
        <f t="shared" si="24"/>
        <v>450</v>
      </c>
      <c r="AA90" s="58">
        <f t="shared" si="25"/>
        <v>115</v>
      </c>
      <c r="AB90" s="2" t="str">
        <f t="shared" si="27"/>
        <v xml:space="preserve">Gemeinde </v>
      </c>
      <c r="AH90" s="2">
        <f t="shared" si="29"/>
        <v>0</v>
      </c>
      <c r="AI90" s="2">
        <f t="shared" si="30"/>
        <v>0</v>
      </c>
      <c r="AJ90" s="2">
        <f t="shared" si="28"/>
        <v>0</v>
      </c>
    </row>
    <row r="91" spans="22:36" x14ac:dyDescent="0.25">
      <c r="V91" s="69">
        <v>4493</v>
      </c>
      <c r="W91" s="56" t="s">
        <v>238</v>
      </c>
      <c r="X91" s="57">
        <v>2</v>
      </c>
      <c r="Y91" s="58">
        <f t="shared" si="26"/>
        <v>484</v>
      </c>
      <c r="Z91" s="58">
        <f t="shared" si="24"/>
        <v>450</v>
      </c>
      <c r="AA91" s="58">
        <f t="shared" si="25"/>
        <v>115</v>
      </c>
      <c r="AB91" s="2" t="str">
        <f t="shared" si="27"/>
        <v xml:space="preserve">Gemeinde </v>
      </c>
      <c r="AH91" s="2">
        <f t="shared" si="29"/>
        <v>0</v>
      </c>
      <c r="AI91" s="2">
        <f t="shared" si="30"/>
        <v>0</v>
      </c>
      <c r="AJ91" s="2">
        <f t="shared" si="28"/>
        <v>0</v>
      </c>
    </row>
    <row r="92" spans="22:36" x14ac:dyDescent="0.25">
      <c r="V92" s="69">
        <v>4451</v>
      </c>
      <c r="W92" s="56" t="s">
        <v>239</v>
      </c>
      <c r="X92" s="57">
        <v>2</v>
      </c>
      <c r="Y92" s="58">
        <f t="shared" si="26"/>
        <v>484</v>
      </c>
      <c r="Z92" s="58">
        <f t="shared" si="24"/>
        <v>450</v>
      </c>
      <c r="AA92" s="58">
        <f t="shared" si="25"/>
        <v>115</v>
      </c>
      <c r="AB92" s="2" t="str">
        <f t="shared" si="27"/>
        <v xml:space="preserve">Gemeinde </v>
      </c>
      <c r="AH92" s="2">
        <f t="shared" si="29"/>
        <v>0</v>
      </c>
      <c r="AI92" s="2">
        <f t="shared" si="30"/>
        <v>0</v>
      </c>
      <c r="AJ92" s="2">
        <f t="shared" si="28"/>
        <v>0</v>
      </c>
    </row>
    <row r="93" spans="22:36" x14ac:dyDescent="0.25">
      <c r="V93" s="69">
        <v>4443</v>
      </c>
      <c r="W93" s="56" t="s">
        <v>240</v>
      </c>
      <c r="X93" s="57">
        <v>2</v>
      </c>
      <c r="Y93" s="58">
        <f t="shared" si="26"/>
        <v>484</v>
      </c>
      <c r="Z93" s="58">
        <f t="shared" si="24"/>
        <v>450</v>
      </c>
      <c r="AA93" s="58">
        <f t="shared" si="25"/>
        <v>115</v>
      </c>
      <c r="AB93" s="2" t="str">
        <f t="shared" si="27"/>
        <v xml:space="preserve">Gemeinde </v>
      </c>
      <c r="AH93" s="2">
        <f t="shared" si="29"/>
        <v>0</v>
      </c>
      <c r="AI93" s="2">
        <f t="shared" si="30"/>
        <v>0</v>
      </c>
      <c r="AJ93" s="2">
        <f t="shared" si="28"/>
        <v>0</v>
      </c>
    </row>
    <row r="94" spans="22:36" x14ac:dyDescent="0.25">
      <c r="V94" s="69">
        <v>4495</v>
      </c>
      <c r="W94" s="56" t="s">
        <v>241</v>
      </c>
      <c r="X94" s="57">
        <v>2</v>
      </c>
      <c r="Y94" s="58">
        <f t="shared" si="26"/>
        <v>484</v>
      </c>
      <c r="Z94" s="58">
        <f t="shared" si="24"/>
        <v>450</v>
      </c>
      <c r="AA94" s="58">
        <f t="shared" si="25"/>
        <v>115</v>
      </c>
      <c r="AB94" s="2" t="str">
        <f t="shared" si="27"/>
        <v xml:space="preserve">Gemeinde </v>
      </c>
      <c r="AH94" s="2">
        <f t="shared" si="29"/>
        <v>0</v>
      </c>
      <c r="AI94" s="2">
        <f t="shared" si="30"/>
        <v>0</v>
      </c>
      <c r="AJ94" s="2">
        <f t="shared" si="28"/>
        <v>0</v>
      </c>
    </row>
    <row r="95" spans="22:36" x14ac:dyDescent="0.25">
      <c r="V95" s="69">
        <v>4417</v>
      </c>
      <c r="W95" s="56" t="s">
        <v>242</v>
      </c>
      <c r="X95" s="57">
        <v>2</v>
      </c>
      <c r="Y95" s="58">
        <f t="shared" si="26"/>
        <v>484</v>
      </c>
      <c r="Z95" s="58">
        <f t="shared" si="24"/>
        <v>450</v>
      </c>
      <c r="AA95" s="58">
        <f t="shared" si="25"/>
        <v>115</v>
      </c>
      <c r="AB95" s="2" t="str">
        <f t="shared" si="27"/>
        <v xml:space="preserve">Gemeinde </v>
      </c>
      <c r="AH95" s="2">
        <f t="shared" si="29"/>
        <v>0</v>
      </c>
      <c r="AI95" s="2">
        <f t="shared" si="30"/>
        <v>0</v>
      </c>
      <c r="AJ95" s="2">
        <f t="shared" si="28"/>
        <v>0</v>
      </c>
    </row>
    <row r="96" spans="22:36" x14ac:dyDescent="0.25">
      <c r="V96" s="69">
        <v>4455</v>
      </c>
      <c r="W96" s="56" t="s">
        <v>243</v>
      </c>
      <c r="X96" s="57">
        <v>2</v>
      </c>
      <c r="Y96" s="58">
        <f t="shared" si="26"/>
        <v>484</v>
      </c>
      <c r="Z96" s="58">
        <f t="shared" si="24"/>
        <v>450</v>
      </c>
      <c r="AA96" s="58">
        <f t="shared" si="25"/>
        <v>115</v>
      </c>
      <c r="AB96" s="2" t="str">
        <f t="shared" si="27"/>
        <v xml:space="preserve">Gemeinde </v>
      </c>
      <c r="AH96" s="2">
        <f t="shared" si="29"/>
        <v>0</v>
      </c>
      <c r="AI96" s="2">
        <f t="shared" si="30"/>
        <v>0</v>
      </c>
      <c r="AJ96" s="2">
        <f t="shared" si="28"/>
        <v>0</v>
      </c>
    </row>
    <row r="97" spans="22:36" x14ac:dyDescent="0.25">
      <c r="V97" s="69">
        <v>4222</v>
      </c>
      <c r="W97" s="56" t="s">
        <v>244</v>
      </c>
      <c r="X97" s="57">
        <v>2</v>
      </c>
      <c r="Y97" s="58">
        <f t="shared" si="26"/>
        <v>484</v>
      </c>
      <c r="Z97" s="58">
        <f t="shared" ref="Z97:Z98" si="31">IF(X97=$AC$3,$AE$3,IF(X97=$AC$4,$AE$4))</f>
        <v>450</v>
      </c>
      <c r="AA97" s="58">
        <f t="shared" ref="AA97:AA98" si="32">IF(X97=$AC$3,$AF$3,IF(X97=$AC$4,$AF$4,0))</f>
        <v>115</v>
      </c>
      <c r="AB97" s="2" t="str">
        <f t="shared" si="27"/>
        <v xml:space="preserve">Gemeinde </v>
      </c>
      <c r="AH97" s="2">
        <f t="shared" si="29"/>
        <v>0</v>
      </c>
      <c r="AI97" s="2">
        <f t="shared" si="30"/>
        <v>0</v>
      </c>
      <c r="AJ97" s="2">
        <f t="shared" si="28"/>
        <v>0</v>
      </c>
    </row>
    <row r="98" spans="22:36" x14ac:dyDescent="0.25">
      <c r="V98" s="69">
        <v>4254</v>
      </c>
      <c r="W98" s="56" t="s">
        <v>204</v>
      </c>
      <c r="X98" s="57">
        <v>2</v>
      </c>
      <c r="Y98" s="58">
        <f t="shared" si="26"/>
        <v>484</v>
      </c>
      <c r="Z98" s="58">
        <f t="shared" si="31"/>
        <v>450</v>
      </c>
      <c r="AA98" s="58">
        <f t="shared" si="32"/>
        <v>115</v>
      </c>
      <c r="AB98" s="2" t="str">
        <f t="shared" si="27"/>
        <v xml:space="preserve">Gemeinde </v>
      </c>
      <c r="AH98" s="2">
        <f t="shared" si="29"/>
        <v>0</v>
      </c>
      <c r="AI98" s="2">
        <f t="shared" si="30"/>
        <v>0</v>
      </c>
      <c r="AJ98" s="2">
        <f t="shared" si="28"/>
        <v>0</v>
      </c>
    </row>
  </sheetData>
  <sheetProtection password="F801" sheet="1" objects="1" scenarios="1" selectLockedCells="1"/>
  <mergeCells count="2">
    <mergeCell ref="Y7:AA7"/>
    <mergeCell ref="Y8:AA8"/>
  </mergeCells>
  <conditionalFormatting sqref="D20:D31">
    <cfRule type="cellIs" dxfId="3" priority="5" operator="greaterThan">
      <formula>E20</formula>
    </cfRule>
    <cfRule type="cellIs" dxfId="2" priority="6" operator="lessThanOrEqual">
      <formula>E20</formula>
    </cfRule>
  </conditionalFormatting>
  <conditionalFormatting sqref="D32">
    <cfRule type="cellIs" dxfId="1" priority="1" operator="greaterThan">
      <formula>E32</formula>
    </cfRule>
    <cfRule type="cellIs" dxfId="0" priority="2" operator="lessThanOrEqual">
      <formula>E32</formula>
    </cfRule>
  </conditionalFormatting>
  <pageMargins left="0.59055118110236227" right="0.39370078740157483" top="0.59055118110236227" bottom="0.39370078740157483" header="0.31496062992125984" footer="0.31496062992125984"/>
  <pageSetup paperSize="9" orientation="landscape" r:id="rId1"/>
  <headerFooter>
    <oddFooter>&amp;R&amp;"Arial,Fett"&amp;9&amp;D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B1:BQ69"/>
  <sheetViews>
    <sheetView showGridLines="0" showRowColHeaders="0" showZeros="0" workbookViewId="0">
      <pane ySplit="22" topLeftCell="A23" activePane="bottomLeft" state="frozen"/>
      <selection activeCell="J36" sqref="J36"/>
      <selection pane="bottomLeft" activeCell="J36" sqref="J36"/>
    </sheetView>
  </sheetViews>
  <sheetFormatPr baseColWidth="10" defaultRowHeight="13.8" x14ac:dyDescent="0.25"/>
  <cols>
    <col min="1" max="1" width="1.5" customWidth="1"/>
    <col min="2" max="2" width="18.3984375" customWidth="1"/>
    <col min="3" max="3" width="13.59765625" style="273" hidden="1" customWidth="1"/>
    <col min="4" max="5" width="6.09765625" hidden="1" customWidth="1"/>
    <col min="6" max="6" width="2" hidden="1" customWidth="1"/>
    <col min="7" max="7" width="3.3984375" hidden="1" customWidth="1"/>
    <col min="8" max="8" width="1.8984375" hidden="1" customWidth="1"/>
    <col min="9" max="10" width="2.8984375" hidden="1" customWidth="1"/>
    <col min="11" max="11" width="2.19921875" hidden="1" customWidth="1"/>
    <col min="12" max="12" width="2.69921875" hidden="1" customWidth="1"/>
    <col min="13" max="13" width="4.5" hidden="1" customWidth="1"/>
    <col min="14" max="14" width="4.19921875" hidden="1" customWidth="1"/>
    <col min="15" max="15" width="7" hidden="1" customWidth="1"/>
    <col min="16" max="16" width="11.3984375" customWidth="1"/>
    <col min="17" max="17" width="11.69921875" customWidth="1"/>
    <col min="18" max="19" width="7.5" customWidth="1"/>
    <col min="20" max="20" width="7.69921875" bestFit="1" customWidth="1"/>
    <col min="21" max="21" width="4.09765625" style="2" hidden="1" customWidth="1"/>
    <col min="22" max="22" width="3" style="2" hidden="1" customWidth="1"/>
    <col min="23" max="26" width="4.19921875" hidden="1" customWidth="1"/>
    <col min="27" max="27" width="5" style="2" hidden="1" customWidth="1"/>
    <col min="28" max="29" width="4.19921875" style="2" hidden="1" customWidth="1"/>
    <col min="30" max="30" width="4.69921875" style="2" hidden="1" customWidth="1"/>
    <col min="31" max="31" width="5.3984375" style="2" hidden="1" customWidth="1"/>
    <col min="32" max="32" width="5.5" style="2" hidden="1" customWidth="1"/>
    <col min="33" max="35" width="4.19921875" style="2" hidden="1" customWidth="1"/>
    <col min="36" max="36" width="5" style="2" hidden="1" customWidth="1"/>
    <col min="37" max="37" width="5.8984375" style="2" hidden="1" customWidth="1"/>
    <col min="38" max="38" width="6.09765625" hidden="1" customWidth="1"/>
    <col min="39" max="39" width="3.5" hidden="1" customWidth="1"/>
    <col min="40" max="41" width="6" style="2" hidden="1" customWidth="1"/>
    <col min="42" max="42" width="5.8984375" hidden="1" customWidth="1"/>
    <col min="43" max="43" width="2.09765625" hidden="1" customWidth="1"/>
    <col min="44" max="44" width="6" hidden="1" customWidth="1"/>
    <col min="45" max="45" width="7.59765625" hidden="1" customWidth="1"/>
    <col min="46" max="46" width="2.5" hidden="1" customWidth="1"/>
    <col min="47" max="47" width="5.69921875" hidden="1" customWidth="1"/>
    <col min="48" max="48" width="6.3984375" hidden="1" customWidth="1"/>
    <col min="49" max="49" width="11" hidden="1" customWidth="1"/>
    <col min="50" max="50" width="5.59765625" hidden="1" customWidth="1"/>
    <col min="51" max="52" width="6" hidden="1" customWidth="1"/>
    <col min="53" max="53" width="6.09765625" hidden="1" customWidth="1"/>
    <col min="54" max="54" width="6.8984375" hidden="1" customWidth="1"/>
    <col min="55" max="55" width="5" hidden="1" customWidth="1"/>
    <col min="56" max="56" width="4.59765625" hidden="1" customWidth="1"/>
    <col min="57" max="57" width="4.69921875" hidden="1" customWidth="1"/>
    <col min="58" max="58" width="10.8984375" hidden="1" customWidth="1"/>
    <col min="59" max="59" width="7.5" hidden="1" customWidth="1"/>
    <col min="60" max="62" width="11" hidden="1" customWidth="1"/>
    <col min="63" max="63" width="4.09765625" hidden="1" customWidth="1"/>
    <col min="64" max="64" width="6" hidden="1" customWidth="1"/>
    <col min="65" max="65" width="6.09765625" hidden="1" customWidth="1"/>
    <col min="66" max="67" width="6" hidden="1" customWidth="1"/>
    <col min="68" max="68" width="11" hidden="1" customWidth="1"/>
  </cols>
  <sheetData>
    <row r="1" spans="2:69" ht="6.75" customHeight="1" x14ac:dyDescent="0.25"/>
    <row r="2" spans="2:69" x14ac:dyDescent="0.25">
      <c r="B2" s="45" t="s">
        <v>600</v>
      </c>
      <c r="AP2" s="2">
        <f>AB23+AG23</f>
        <v>0</v>
      </c>
      <c r="AU2" s="2">
        <f>Rechnen!I23</f>
        <v>31</v>
      </c>
      <c r="BA2" s="2">
        <f>AB23+AG23</f>
        <v>0</v>
      </c>
      <c r="BH2" t="s">
        <v>284</v>
      </c>
    </row>
    <row r="3" spans="2:69" s="273" customFormat="1" x14ac:dyDescent="0.25">
      <c r="B3" s="45" t="s">
        <v>601</v>
      </c>
      <c r="U3" s="274"/>
      <c r="V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N3" s="274"/>
      <c r="AO3" s="274"/>
      <c r="AP3" s="274"/>
      <c r="AU3" s="274"/>
      <c r="BA3" s="274"/>
      <c r="BQ3" s="326">
        <f ca="1">Erfassung!P5</f>
        <v>43301</v>
      </c>
    </row>
    <row r="4" spans="2:69" x14ac:dyDescent="0.25">
      <c r="R4" s="353" t="s">
        <v>274</v>
      </c>
      <c r="S4" s="353"/>
      <c r="T4" s="22"/>
      <c r="W4" s="22"/>
      <c r="X4" s="22"/>
      <c r="Y4" s="22"/>
      <c r="Z4" s="22"/>
      <c r="AJ4" s="2" t="s">
        <v>530</v>
      </c>
      <c r="AL4" s="20">
        <f ca="1">Rechnen!F9</f>
        <v>0</v>
      </c>
      <c r="AN4" s="2" t="s">
        <v>130</v>
      </c>
      <c r="AR4" s="6" t="s">
        <v>40</v>
      </c>
      <c r="AS4" s="32"/>
      <c r="AU4" s="2" t="s">
        <v>41</v>
      </c>
      <c r="BC4" s="2" t="s">
        <v>25</v>
      </c>
    </row>
    <row r="5" spans="2:69" x14ac:dyDescent="0.25">
      <c r="R5" s="354" t="s">
        <v>275</v>
      </c>
      <c r="S5" s="354"/>
      <c r="T5" s="22"/>
      <c r="W5" s="22"/>
      <c r="X5" s="22"/>
      <c r="Y5" s="22"/>
      <c r="Z5" s="22"/>
      <c r="AM5" s="2">
        <v>1</v>
      </c>
      <c r="AN5" s="21">
        <f>Rechnen!L8</f>
        <v>589</v>
      </c>
      <c r="AO5" s="19">
        <f>ROUND(AN5/AM5*20,0)/20</f>
        <v>589</v>
      </c>
      <c r="AP5" s="19">
        <f>IF($AP$2=AM5,AO5,0)</f>
        <v>0</v>
      </c>
      <c r="AQ5" s="2"/>
      <c r="AR5" s="21">
        <f>Rechnen!Q8</f>
        <v>412</v>
      </c>
      <c r="AS5" s="21">
        <f>IF($AR$20=AM5,AR5,IF($AS$20=AM5,SUM(AS6:AS16),0))</f>
        <v>0</v>
      </c>
      <c r="AU5" s="21">
        <f>Rechnen!T7</f>
        <v>8</v>
      </c>
      <c r="AY5" s="21">
        <f>Rechnen!X8</f>
        <v>986</v>
      </c>
      <c r="AZ5" s="19">
        <f>ROUND(AY5/AM5*20,0)/20</f>
        <v>986</v>
      </c>
      <c r="BA5" s="19">
        <f>IF($BA$2=AM5,AZ5,0)</f>
        <v>0</v>
      </c>
    </row>
    <row r="6" spans="2:69" x14ac:dyDescent="0.25">
      <c r="Q6" s="22"/>
      <c r="R6" s="286"/>
      <c r="S6" s="286"/>
      <c r="T6" s="93"/>
      <c r="U6" s="220" t="s">
        <v>529</v>
      </c>
      <c r="W6" s="2" t="s">
        <v>321</v>
      </c>
      <c r="X6" s="2"/>
      <c r="Y6" s="2"/>
      <c r="Z6" s="2"/>
      <c r="AB6" s="2">
        <f>R6</f>
        <v>0</v>
      </c>
      <c r="AF6" s="11"/>
      <c r="AG6" s="2">
        <f>S6</f>
        <v>0</v>
      </c>
      <c r="AK6" s="11"/>
      <c r="AM6" s="2">
        <v>2</v>
      </c>
      <c r="AN6" s="21">
        <f>Rechnen!L9</f>
        <v>961</v>
      </c>
      <c r="AO6" s="19">
        <f t="shared" ref="AO6:AO16" si="0">ROUND(AN6/AM6*20,0)/20</f>
        <v>480.5</v>
      </c>
      <c r="AP6" s="19">
        <f t="shared" ref="AP6:AP16" si="1">IF($AP$2=AM6,AO6,0)</f>
        <v>0</v>
      </c>
      <c r="AR6" s="21">
        <f>$AR$5*AM6</f>
        <v>824</v>
      </c>
      <c r="AS6" s="21">
        <f t="shared" ref="AS6:AS16" si="2">IF($AR$20=AM6,AR6,IF($AS$20=AM6,SUM(AS7:AS17),0))</f>
        <v>0</v>
      </c>
      <c r="AY6" s="21">
        <f>Rechnen!X9</f>
        <v>1509</v>
      </c>
      <c r="AZ6" s="19">
        <f t="shared" ref="AZ6:AZ16" si="3">ROUND(AY6/AM6*20,0)/20</f>
        <v>754.5</v>
      </c>
      <c r="BA6" s="19">
        <f t="shared" ref="BA6:BA16" si="4">IF($BA$2=AM6,AZ6,0)</f>
        <v>0</v>
      </c>
      <c r="BC6" s="2">
        <f>R6</f>
        <v>0</v>
      </c>
      <c r="BD6" s="2">
        <f>S6</f>
        <v>0</v>
      </c>
      <c r="BG6" s="22" t="s">
        <v>272</v>
      </c>
    </row>
    <row r="7" spans="2:69" x14ac:dyDescent="0.25">
      <c r="Q7" s="306"/>
      <c r="R7" s="322"/>
      <c r="S7" s="322"/>
      <c r="T7" s="22"/>
      <c r="U7" s="221" t="s">
        <v>528</v>
      </c>
      <c r="W7" s="2" t="s">
        <v>64</v>
      </c>
      <c r="X7" s="2"/>
      <c r="Y7" s="2"/>
      <c r="Z7" s="2"/>
      <c r="AA7" s="11" t="s">
        <v>279</v>
      </c>
      <c r="AB7" s="2" t="s">
        <v>64</v>
      </c>
      <c r="AF7" s="11" t="s">
        <v>279</v>
      </c>
      <c r="AG7" s="2" t="s">
        <v>64</v>
      </c>
      <c r="AK7" s="11" t="s">
        <v>279</v>
      </c>
      <c r="AM7" s="2">
        <v>3</v>
      </c>
      <c r="AN7" s="21">
        <f>Rechnen!L10</f>
        <v>1364</v>
      </c>
      <c r="AO7" s="19">
        <f t="shared" si="0"/>
        <v>454.65</v>
      </c>
      <c r="AP7" s="19">
        <f t="shared" si="1"/>
        <v>0</v>
      </c>
      <c r="AR7" s="21">
        <f>$AR$5*AM7</f>
        <v>1236</v>
      </c>
      <c r="AS7" s="21">
        <f t="shared" si="2"/>
        <v>0</v>
      </c>
      <c r="AY7" s="21">
        <f>Rechnen!X10</f>
        <v>1834</v>
      </c>
      <c r="AZ7" s="19">
        <f t="shared" si="3"/>
        <v>611.35</v>
      </c>
      <c r="BA7" s="19">
        <f t="shared" si="4"/>
        <v>0</v>
      </c>
      <c r="BC7" s="26">
        <f>IF(R67&gt;0,1,0)</f>
        <v>0</v>
      </c>
      <c r="BD7" s="26">
        <f>IF(S67&gt;0,1,0)</f>
        <v>0</v>
      </c>
      <c r="BH7">
        <v>1</v>
      </c>
      <c r="BI7">
        <v>2</v>
      </c>
    </row>
    <row r="8" spans="2:69" hidden="1" x14ac:dyDescent="0.25">
      <c r="F8" s="22" t="s">
        <v>18</v>
      </c>
      <c r="G8" s="22" t="s">
        <v>19</v>
      </c>
      <c r="H8" s="22" t="s">
        <v>20</v>
      </c>
      <c r="I8" s="22" t="s">
        <v>21</v>
      </c>
      <c r="J8" s="22" t="s">
        <v>22</v>
      </c>
      <c r="K8" s="22" t="s">
        <v>44</v>
      </c>
      <c r="L8" s="22" t="s">
        <v>45</v>
      </c>
      <c r="M8" s="22" t="s">
        <v>26</v>
      </c>
      <c r="N8" s="22" t="s">
        <v>27</v>
      </c>
      <c r="O8" s="22" t="s">
        <v>28</v>
      </c>
      <c r="P8" s="22"/>
      <c r="R8" s="22"/>
      <c r="S8" s="22"/>
      <c r="T8" s="22"/>
      <c r="W8" s="2" t="s">
        <v>276</v>
      </c>
      <c r="X8" s="2" t="s">
        <v>130</v>
      </c>
      <c r="Y8" s="2" t="s">
        <v>277</v>
      </c>
      <c r="Z8" s="2" t="s">
        <v>278</v>
      </c>
      <c r="AA8" s="11"/>
      <c r="AB8" s="2" t="s">
        <v>276</v>
      </c>
      <c r="AC8" s="2" t="s">
        <v>130</v>
      </c>
      <c r="AD8" s="2" t="s">
        <v>277</v>
      </c>
      <c r="AE8" s="2" t="s">
        <v>278</v>
      </c>
      <c r="AF8" s="11"/>
      <c r="AG8" s="2" t="s">
        <v>276</v>
      </c>
      <c r="AH8" s="2" t="s">
        <v>130</v>
      </c>
      <c r="AI8" s="2" t="s">
        <v>277</v>
      </c>
      <c r="AJ8" s="2" t="s">
        <v>278</v>
      </c>
      <c r="AK8" s="11"/>
      <c r="AM8" s="2">
        <v>4</v>
      </c>
      <c r="AN8" s="21">
        <f>Rechnen!L11</f>
        <v>1733</v>
      </c>
      <c r="AO8" s="19">
        <f t="shared" si="0"/>
        <v>433.25</v>
      </c>
      <c r="AP8" s="19">
        <f t="shared" si="1"/>
        <v>0</v>
      </c>
      <c r="AR8" s="21">
        <f t="shared" ref="AR8:AR9" si="5">$AR$5*AM8</f>
        <v>1648</v>
      </c>
      <c r="AS8" s="21">
        <f t="shared" si="2"/>
        <v>0</v>
      </c>
      <c r="AY8" s="21">
        <f>Rechnen!X11</f>
        <v>2110</v>
      </c>
      <c r="AZ8" s="19">
        <f t="shared" si="3"/>
        <v>527.5</v>
      </c>
      <c r="BA8" s="19">
        <f t="shared" si="4"/>
        <v>0</v>
      </c>
    </row>
    <row r="9" spans="2:69" x14ac:dyDescent="0.25">
      <c r="B9" s="276" t="s">
        <v>15</v>
      </c>
      <c r="C9" s="274"/>
      <c r="D9" s="2" t="s">
        <v>273</v>
      </c>
      <c r="E9" s="2" t="s">
        <v>23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22"/>
      <c r="S9" s="22"/>
      <c r="T9" s="22"/>
      <c r="V9" s="2">
        <f>SUM(V10:V21)</f>
        <v>0</v>
      </c>
      <c r="W9" s="2"/>
      <c r="X9" s="2"/>
      <c r="Y9" s="2"/>
      <c r="Z9" s="2"/>
      <c r="AF9" s="11"/>
      <c r="AK9" s="11"/>
      <c r="AM9" s="2">
        <v>5</v>
      </c>
      <c r="AN9" s="21">
        <f>Rechnen!L12</f>
        <v>2060</v>
      </c>
      <c r="AO9" s="19">
        <f t="shared" si="0"/>
        <v>412</v>
      </c>
      <c r="AP9" s="19">
        <f t="shared" si="1"/>
        <v>0</v>
      </c>
      <c r="AR9" s="21">
        <f t="shared" si="5"/>
        <v>2060</v>
      </c>
      <c r="AS9" s="21">
        <f t="shared" si="2"/>
        <v>0</v>
      </c>
      <c r="AY9" s="21">
        <f>Rechnen!X12</f>
        <v>2386</v>
      </c>
      <c r="AZ9" s="19">
        <f t="shared" si="3"/>
        <v>477.2</v>
      </c>
      <c r="BA9" s="19">
        <f t="shared" si="4"/>
        <v>0</v>
      </c>
    </row>
    <row r="10" spans="2:69" x14ac:dyDescent="0.25">
      <c r="B10" s="276">
        <f>Erfassung!B13</f>
        <v>0</v>
      </c>
      <c r="C10" s="274"/>
      <c r="D10" s="28">
        <f>Erfassung!D13</f>
        <v>0</v>
      </c>
      <c r="E10" s="28">
        <f>Erfassung!E13</f>
        <v>0</v>
      </c>
      <c r="F10" s="2">
        <f>Erfassung!F13</f>
        <v>0</v>
      </c>
      <c r="G10" s="2">
        <f>Erfassung!G13</f>
        <v>0</v>
      </c>
      <c r="H10" s="2">
        <f>Erfassung!H13</f>
        <v>0</v>
      </c>
      <c r="I10" s="2">
        <f>Erfassung!I13</f>
        <v>0</v>
      </c>
      <c r="J10" s="2">
        <f>Erfassung!J13</f>
        <v>0</v>
      </c>
      <c r="K10" s="2">
        <f>Erfassung!K13</f>
        <v>0</v>
      </c>
      <c r="L10" s="2">
        <f>Erfassung!L13</f>
        <v>0</v>
      </c>
      <c r="M10" s="2">
        <f>Erfassung!M13</f>
        <v>0</v>
      </c>
      <c r="N10" s="2">
        <f>Erfassung!N13</f>
        <v>0</v>
      </c>
      <c r="O10" s="27">
        <f>Erfassung!O13-Erfassung!P13</f>
        <v>0</v>
      </c>
      <c r="P10" s="285">
        <f>IF(OR(F10&lt;&gt;0,G10&lt;&gt;0,H10&lt;&gt;0,I10&lt;&gt;0,J10&lt;&gt;0),1,0)</f>
        <v>0</v>
      </c>
      <c r="R10" s="286"/>
      <c r="S10" s="286"/>
      <c r="T10" s="94"/>
      <c r="U10" s="2">
        <f>IF(AND(P10=1,D10&gt;0),1,0)</f>
        <v>0</v>
      </c>
      <c r="V10" s="2">
        <f>IF(AND(R10=0,S10=0),0,1)</f>
        <v>0</v>
      </c>
      <c r="W10" s="85">
        <f>IF(AND(U10=1,V10=0,F10=0,G10=0,H10=0,I10=0,J10&lt;&gt;0),1,0)</f>
        <v>0</v>
      </c>
      <c r="X10" s="85">
        <f>IF(AND(U10=1,V10=0,K10&lt;&gt;0,G10=0,I10=0,J10=0,L10=0),1,0)</f>
        <v>0</v>
      </c>
      <c r="Y10" s="85">
        <f>IF(AND(U10=1,V10=0,L10&lt;&gt;0,K10=0,J10=0,I10=0,G10=0),1,0)</f>
        <v>0</v>
      </c>
      <c r="Z10" s="85">
        <f>IF(AND(U10=1,V10=0,F10=0,G10&lt;&gt;0,H10=0,I10=0,J10=0),1,IF(AND(U10=1,V10=0,F10=0,G10=0,H10=0,I10&lt;&gt;0,J10=0),1,0))</f>
        <v>0</v>
      </c>
      <c r="AA10" s="75">
        <f>IF(V10=0,O10,0)</f>
        <v>0</v>
      </c>
      <c r="AB10" s="85">
        <f>IF(AND(U10=1,V10=0),W10,IF(AND(R10&lt;&gt;0,S10=0,J10&lt;&gt;0),1,0))</f>
        <v>0</v>
      </c>
      <c r="AC10" s="85">
        <f>IF(AND(U10=1,V10=0),X10,IF(AND(R10&lt;&gt;0,G10=0,I10=0,J10=0,K10&lt;&gt;0),1,0))</f>
        <v>0</v>
      </c>
      <c r="AD10" s="85">
        <f>IF(AND(U10=1,V10=0),Y10,IF(AND(R10&lt;&gt;0,S10=0,G10=0,I10=0,J10=0,K10=0,L10&lt;&gt;0),1,0))</f>
        <v>0</v>
      </c>
      <c r="AE10" s="85">
        <f>IF(AND(U10=1,V10=0),Z10,IF(AND(R10&lt;&gt;0,S10=0,Erfassung!Z13=1),1,0))</f>
        <v>0</v>
      </c>
      <c r="AF10" s="75">
        <f>IF(AND(U10=1,V10=0),AA10,IF(AND(R10&lt;&gt;0,S10=0),O10,0))</f>
        <v>0</v>
      </c>
      <c r="AG10" s="85">
        <f>IF(AND(R10=0,S10&lt;&gt;0,J10&lt;&gt;0),1,0)</f>
        <v>0</v>
      </c>
      <c r="AH10" s="85">
        <f>IF(AND(R10=0,S10&lt;&gt;0,G10=0,I10=0,J10=0,K10&lt;&gt;0,L10=0),1,0)</f>
        <v>0</v>
      </c>
      <c r="AI10" s="85">
        <f>IF(AND(R10=0,S10&lt;&gt;0,G10=0,I10=0,J10=0,K10=0,L10&lt;&gt;0),1,0)</f>
        <v>0</v>
      </c>
      <c r="AJ10" s="85">
        <f>IF(AND(R10=0,S10&lt;&gt;0,Erfassung!Z13=1),1,0)</f>
        <v>0</v>
      </c>
      <c r="AK10" s="33">
        <f>IF(AND(R10=0,S10&lt;&gt;0),O10,0)</f>
        <v>0</v>
      </c>
      <c r="AM10" s="2">
        <v>6</v>
      </c>
      <c r="AN10" s="21">
        <f>Rechnen!L13</f>
        <v>2322</v>
      </c>
      <c r="AO10" s="19">
        <f t="shared" si="0"/>
        <v>387</v>
      </c>
      <c r="AP10" s="19">
        <f t="shared" si="1"/>
        <v>0</v>
      </c>
      <c r="AR10" s="21">
        <f>AN10</f>
        <v>2322</v>
      </c>
      <c r="AS10" s="21">
        <f t="shared" si="2"/>
        <v>0</v>
      </c>
      <c r="AY10" s="21">
        <f>Rechnen!X13</f>
        <v>2586</v>
      </c>
      <c r="AZ10" s="19">
        <f t="shared" si="3"/>
        <v>431</v>
      </c>
      <c r="BA10" s="19">
        <f t="shared" si="4"/>
        <v>0</v>
      </c>
      <c r="BC10" s="20">
        <f>IF(AND(U10=1,V10=0),1,IF(AND(R10&lt;&gt;0,S10=0,$BC$7=0),0,IF(AND(R10&lt;&gt;0,S10=0,$BC$7=1),1,0)))</f>
        <v>0</v>
      </c>
      <c r="BD10" s="20">
        <f>IF(AND(R10=0,S10&lt;&gt;0,$BD$7=0),0,IF(AND(R10=0,S10&lt;&gt;0,$BD$7=1),1,0))</f>
        <v>0</v>
      </c>
      <c r="BE10" s="20">
        <f>BC10+BD10</f>
        <v>0</v>
      </c>
      <c r="BG10" s="27">
        <f>Einnahmen!W15</f>
        <v>0</v>
      </c>
      <c r="BH10" s="27">
        <f>IF(AND(BG10&gt;0,$R$7=0),BG10,IF(AND(R7&gt;0,BG10&gt;0),R7,0))</f>
        <v>0</v>
      </c>
      <c r="BI10" s="275">
        <f t="shared" ref="BI10:BI21" si="6">IF(AND(R10=0,S10&lt;&gt;0),BG10,0)</f>
        <v>0</v>
      </c>
    </row>
    <row r="11" spans="2:69" x14ac:dyDescent="0.25">
      <c r="B11" s="276">
        <f>Erfassung!B14</f>
        <v>0</v>
      </c>
      <c r="C11" s="274"/>
      <c r="D11" s="28">
        <f>Erfassung!D14</f>
        <v>0</v>
      </c>
      <c r="E11" s="28">
        <f>Erfassung!E14</f>
        <v>0</v>
      </c>
      <c r="F11" s="2">
        <f>Erfassung!F14</f>
        <v>0</v>
      </c>
      <c r="G11" s="2">
        <f>Erfassung!G14</f>
        <v>0</v>
      </c>
      <c r="H11" s="2">
        <f>Erfassung!H14</f>
        <v>0</v>
      </c>
      <c r="I11" s="2">
        <f>Erfassung!I14</f>
        <v>0</v>
      </c>
      <c r="J11" s="2">
        <f>Erfassung!J14</f>
        <v>0</v>
      </c>
      <c r="K11" s="2">
        <f>Erfassung!K14</f>
        <v>0</v>
      </c>
      <c r="L11" s="2">
        <f>Erfassung!L14</f>
        <v>0</v>
      </c>
      <c r="M11" s="2">
        <f>Erfassung!M14</f>
        <v>0</v>
      </c>
      <c r="N11" s="2">
        <f>Erfassung!N14</f>
        <v>0</v>
      </c>
      <c r="O11" s="27">
        <f>Erfassung!O14-Erfassung!P14</f>
        <v>0</v>
      </c>
      <c r="P11" s="285">
        <f t="shared" ref="P11:P21" si="7">IF(OR(F11&lt;&gt;0,G11&lt;&gt;0,H11&lt;&gt;0,I11&lt;&gt;0,J11&lt;&gt;0),1,0)</f>
        <v>0</v>
      </c>
      <c r="R11" s="286"/>
      <c r="S11" s="286"/>
      <c r="T11" s="94"/>
      <c r="U11" s="2">
        <f t="shared" ref="U11:U21" si="8">IF(AND(P11=1,D11&gt;0),1,0)</f>
        <v>0</v>
      </c>
      <c r="V11" s="2">
        <f t="shared" ref="V11:V21" si="9">IF(AND(R11=0,S11=0),0,1)</f>
        <v>0</v>
      </c>
      <c r="W11" s="85">
        <f t="shared" ref="W11:W21" si="10">IF(AND(U11=1,V11=0,F11=0,G11=0,H11=0,I11=0,J11&lt;&gt;0),1,0)</f>
        <v>0</v>
      </c>
      <c r="X11" s="85">
        <f>IF(AND(U11=1,V11=0,K11&lt;&gt;0,G11=0,I11=0,J11=0,L11=0),1,0)</f>
        <v>0</v>
      </c>
      <c r="Y11" s="85">
        <f t="shared" ref="Y11:Y21" si="11">IF(AND(U11=1,V11=0,L11&lt;&gt;0,K11=0,J11=0,I11=0,G11=0),1,0)</f>
        <v>0</v>
      </c>
      <c r="Z11" s="85">
        <f t="shared" ref="Z11:Z21" si="12">IF(AND(U11=1,V11=0,F11=0,G11&lt;&gt;0,H11=0,I11=0,J11=0),1,IF(AND(U11=1,V11=0,F11=0,G11=0,H11=0,I11&lt;&gt;0,J11=0),1,0))</f>
        <v>0</v>
      </c>
      <c r="AA11" s="75">
        <f t="shared" ref="AA11:AA21" si="13">IF(V11=0,O11,0)</f>
        <v>0</v>
      </c>
      <c r="AB11" s="85">
        <f t="shared" ref="AB11:AB21" si="14">IF(AND(U11=1,V11=0),W11,IF(AND(R11&lt;&gt;0,S11=0,J11&lt;&gt;0),1,0))</f>
        <v>0</v>
      </c>
      <c r="AC11" s="85">
        <f t="shared" ref="AC11:AC21" si="15">IF(AND(U11=1,V11=0),X11,IF(AND(R11&lt;&gt;0,G11=0,I11=0,J11=0,K11&lt;&gt;0),1,0))</f>
        <v>0</v>
      </c>
      <c r="AD11" s="85">
        <f t="shared" ref="AD11:AD21" si="16">IF(AND(U11=1,V11=0),Y11,IF(AND(R11&lt;&gt;0,S11=0,G11=0,I11=0,J11=0,K11=0,L11&lt;&gt;0),1,0))</f>
        <v>0</v>
      </c>
      <c r="AE11" s="85">
        <f>IF(AND(U11=1,V11=0),Z11,IF(AND(R11&lt;&gt;0,S11=0,Erfassung!Z14=1),1,0))</f>
        <v>0</v>
      </c>
      <c r="AF11" s="75">
        <f t="shared" ref="AF11:AF21" si="17">IF(AND(U11=1,V11=0),AA11,IF(AND(R11&lt;&gt;0,S11=0),O11,0))</f>
        <v>0</v>
      </c>
      <c r="AG11" s="86">
        <f t="shared" ref="AG11:AG21" si="18">IF(AND(R11=0,S11&lt;&gt;0,J11&lt;&gt;0),1,0)</f>
        <v>0</v>
      </c>
      <c r="AH11" s="86">
        <f t="shared" ref="AH11:AH21" si="19">IF(AND(R11=0,S11&lt;&gt;0,G11=0,I11=0,J11=0,K11&lt;&gt;0,L11=0),1,0)</f>
        <v>0</v>
      </c>
      <c r="AI11" s="86">
        <f t="shared" ref="AI11:AI21" si="20">IF(AND(R11=0,S11&lt;&gt;0,G11=0,I11=0,J11=0,K11=0,L11&lt;&gt;0),1,0)</f>
        <v>0</v>
      </c>
      <c r="AJ11" s="86">
        <f>IF(AND(R11=0,S11&lt;&gt;0,Erfassung!Z14=1),1,0)</f>
        <v>0</v>
      </c>
      <c r="AK11" s="33">
        <f t="shared" ref="AK11:AK21" si="21">IF(AND(R11=0,S11&lt;&gt;0),O11,0)</f>
        <v>0</v>
      </c>
      <c r="AM11" s="2">
        <v>7</v>
      </c>
      <c r="AN11" s="21">
        <f>Rechnen!L14</f>
        <v>2512</v>
      </c>
      <c r="AO11" s="19">
        <f t="shared" si="0"/>
        <v>358.85</v>
      </c>
      <c r="AP11" s="19">
        <f t="shared" si="1"/>
        <v>0</v>
      </c>
      <c r="AR11" s="21">
        <f t="shared" ref="AR11:AR16" si="22">AN11</f>
        <v>2512</v>
      </c>
      <c r="AS11" s="21">
        <f t="shared" si="2"/>
        <v>0</v>
      </c>
      <c r="AY11" s="21">
        <f>Rechnen!X14</f>
        <v>2786</v>
      </c>
      <c r="AZ11" s="19">
        <f t="shared" si="3"/>
        <v>398</v>
      </c>
      <c r="BA11" s="19">
        <f t="shared" si="4"/>
        <v>0</v>
      </c>
      <c r="BC11" s="20">
        <f t="shared" ref="BC11:BC20" si="23">IF(AND(U11=1,V11=0),1,IF(AND(R11&lt;&gt;0,S11=0,$BC$7=0),0,IF(AND(R11&lt;&gt;0,S11=0,$BC$7=1),1,0)))</f>
        <v>0</v>
      </c>
      <c r="BD11" s="20">
        <f t="shared" ref="BD11:BD21" si="24">IF(AND(R11=0,S11&lt;&gt;0,$BD$7=0),0,IF(AND(R11=0,S11&lt;&gt;0,$BD$7=1),1,0))</f>
        <v>0</v>
      </c>
      <c r="BE11" s="20">
        <f t="shared" ref="BE11:BE21" si="25">BC11+BD11</f>
        <v>0</v>
      </c>
      <c r="BG11" s="27">
        <f>Einnahmen!W16</f>
        <v>0</v>
      </c>
      <c r="BH11" s="27">
        <f t="shared" ref="BH11:BH21" si="26">IF(AND(R11&lt;&gt;0,S11=0),BG11,0)</f>
        <v>0</v>
      </c>
      <c r="BI11" s="27">
        <f t="shared" si="6"/>
        <v>0</v>
      </c>
    </row>
    <row r="12" spans="2:69" x14ac:dyDescent="0.25">
      <c r="B12" s="276">
        <f>Erfassung!B15</f>
        <v>0</v>
      </c>
      <c r="C12" s="274"/>
      <c r="D12" s="28">
        <f>Erfassung!D15</f>
        <v>0</v>
      </c>
      <c r="E12" s="28">
        <f>Erfassung!E15</f>
        <v>0</v>
      </c>
      <c r="F12" s="2">
        <f>Erfassung!F15</f>
        <v>0</v>
      </c>
      <c r="G12" s="2">
        <f>Erfassung!G15</f>
        <v>0</v>
      </c>
      <c r="H12" s="2">
        <f>Erfassung!H15</f>
        <v>0</v>
      </c>
      <c r="I12" s="2">
        <f>Erfassung!I15</f>
        <v>0</v>
      </c>
      <c r="J12" s="2">
        <f>Erfassung!J15</f>
        <v>0</v>
      </c>
      <c r="K12" s="2">
        <f>Erfassung!K15</f>
        <v>0</v>
      </c>
      <c r="L12" s="2">
        <f>Erfassung!L15</f>
        <v>0</v>
      </c>
      <c r="M12" s="2">
        <f>Erfassung!M15</f>
        <v>0</v>
      </c>
      <c r="N12" s="2">
        <f>Erfassung!N15</f>
        <v>0</v>
      </c>
      <c r="O12" s="27">
        <f>Erfassung!O15-Erfassung!P15</f>
        <v>0</v>
      </c>
      <c r="P12" s="285">
        <f t="shared" si="7"/>
        <v>0</v>
      </c>
      <c r="R12" s="286"/>
      <c r="S12" s="286"/>
      <c r="T12" s="94"/>
      <c r="U12" s="2">
        <f t="shared" si="8"/>
        <v>0</v>
      </c>
      <c r="V12" s="2">
        <f t="shared" si="9"/>
        <v>0</v>
      </c>
      <c r="W12" s="85">
        <f t="shared" si="10"/>
        <v>0</v>
      </c>
      <c r="X12" s="85">
        <f>IF(AND(U12=1,V12=0,K12&lt;&gt;0,G12=0,I12=0,J12=0,L12=0),1,0)</f>
        <v>0</v>
      </c>
      <c r="Y12" s="85">
        <f t="shared" si="11"/>
        <v>0</v>
      </c>
      <c r="Z12" s="85">
        <f t="shared" si="12"/>
        <v>0</v>
      </c>
      <c r="AA12" s="75">
        <f t="shared" si="13"/>
        <v>0</v>
      </c>
      <c r="AB12" s="85">
        <f t="shared" si="14"/>
        <v>0</v>
      </c>
      <c r="AC12" s="85">
        <f t="shared" si="15"/>
        <v>0</v>
      </c>
      <c r="AD12" s="85">
        <f t="shared" si="16"/>
        <v>0</v>
      </c>
      <c r="AE12" s="85">
        <f>IF(AND(U12=1,V12=0),Z12,IF(AND(R12&lt;&gt;0,S12=0,Erfassung!Z15=1),1,0))</f>
        <v>0</v>
      </c>
      <c r="AF12" s="75">
        <f t="shared" si="17"/>
        <v>0</v>
      </c>
      <c r="AG12" s="86">
        <f t="shared" si="18"/>
        <v>0</v>
      </c>
      <c r="AH12" s="86">
        <f t="shared" si="19"/>
        <v>0</v>
      </c>
      <c r="AI12" s="86">
        <f t="shared" si="20"/>
        <v>0</v>
      </c>
      <c r="AJ12" s="86">
        <f>IF(AND(R12=0,S12&lt;&gt;0,Erfassung!Z15=1),1,0)</f>
        <v>0</v>
      </c>
      <c r="AK12" s="33">
        <f t="shared" si="21"/>
        <v>0</v>
      </c>
      <c r="AM12" s="2">
        <v>8</v>
      </c>
      <c r="AN12" s="21">
        <f>Rechnen!L15</f>
        <v>2676</v>
      </c>
      <c r="AO12" s="19">
        <f t="shared" si="0"/>
        <v>334.5</v>
      </c>
      <c r="AP12" s="19">
        <f t="shared" si="1"/>
        <v>0</v>
      </c>
      <c r="AR12" s="21">
        <f t="shared" si="22"/>
        <v>2676</v>
      </c>
      <c r="AS12" s="21">
        <f t="shared" si="2"/>
        <v>0</v>
      </c>
      <c r="AX12" s="21">
        <f>Rechnen!W15</f>
        <v>200</v>
      </c>
      <c r="AY12" s="21">
        <f>Rechnen!X15</f>
        <v>2986</v>
      </c>
      <c r="AZ12" s="19">
        <f t="shared" si="3"/>
        <v>373.25</v>
      </c>
      <c r="BA12" s="19">
        <f t="shared" si="4"/>
        <v>0</v>
      </c>
      <c r="BC12" s="20">
        <f t="shared" si="23"/>
        <v>0</v>
      </c>
      <c r="BD12" s="20">
        <f t="shared" si="24"/>
        <v>0</v>
      </c>
      <c r="BE12" s="20">
        <f t="shared" si="25"/>
        <v>0</v>
      </c>
      <c r="BG12" s="27">
        <f>Einnahmen!W17</f>
        <v>0</v>
      </c>
      <c r="BH12" s="27">
        <f t="shared" si="26"/>
        <v>0</v>
      </c>
      <c r="BI12" s="27">
        <f t="shared" si="6"/>
        <v>0</v>
      </c>
    </row>
    <row r="13" spans="2:69" x14ac:dyDescent="0.25">
      <c r="B13" s="276">
        <f>Erfassung!B16</f>
        <v>0</v>
      </c>
      <c r="C13" s="274"/>
      <c r="D13" s="28">
        <f>Erfassung!D16</f>
        <v>0</v>
      </c>
      <c r="E13" s="28">
        <f>Erfassung!E16</f>
        <v>0</v>
      </c>
      <c r="F13" s="2">
        <f>Erfassung!F16</f>
        <v>0</v>
      </c>
      <c r="G13" s="2">
        <f>Erfassung!G16</f>
        <v>0</v>
      </c>
      <c r="H13" s="2">
        <f>Erfassung!H16</f>
        <v>0</v>
      </c>
      <c r="I13" s="2">
        <f>Erfassung!I16</f>
        <v>0</v>
      </c>
      <c r="J13" s="2">
        <f>Erfassung!J16</f>
        <v>0</v>
      </c>
      <c r="K13" s="2">
        <f>Erfassung!K16</f>
        <v>0</v>
      </c>
      <c r="L13" s="2">
        <f>Erfassung!L16</f>
        <v>0</v>
      </c>
      <c r="M13" s="2">
        <f>Erfassung!M16</f>
        <v>0</v>
      </c>
      <c r="N13" s="2">
        <f>Erfassung!N16</f>
        <v>0</v>
      </c>
      <c r="O13" s="27">
        <f>Erfassung!O16-Erfassung!P16</f>
        <v>0</v>
      </c>
      <c r="P13" s="285">
        <f t="shared" si="7"/>
        <v>0</v>
      </c>
      <c r="R13" s="286"/>
      <c r="S13" s="286"/>
      <c r="T13" s="94"/>
      <c r="U13" s="2">
        <f t="shared" si="8"/>
        <v>0</v>
      </c>
      <c r="V13" s="2">
        <f t="shared" si="9"/>
        <v>0</v>
      </c>
      <c r="W13" s="85">
        <f t="shared" si="10"/>
        <v>0</v>
      </c>
      <c r="X13" s="85">
        <f t="shared" ref="X13:X21" si="27">IF(AND(U13=1,V13=0,K13&lt;&gt;0,G13=0,I13=0,J13=0,L13=0),1,0)</f>
        <v>0</v>
      </c>
      <c r="Y13" s="85">
        <f t="shared" si="11"/>
        <v>0</v>
      </c>
      <c r="Z13" s="85">
        <f t="shared" si="12"/>
        <v>0</v>
      </c>
      <c r="AA13" s="75">
        <f t="shared" si="13"/>
        <v>0</v>
      </c>
      <c r="AB13" s="85">
        <f t="shared" si="14"/>
        <v>0</v>
      </c>
      <c r="AC13" s="85">
        <f t="shared" si="15"/>
        <v>0</v>
      </c>
      <c r="AD13" s="85">
        <f t="shared" si="16"/>
        <v>0</v>
      </c>
      <c r="AE13" s="85">
        <f>IF(AND(U13=1,V13=0),Z13,IF(AND(R13&lt;&gt;0,S13=0,Erfassung!Z16=1),1,0))</f>
        <v>0</v>
      </c>
      <c r="AF13" s="75">
        <f t="shared" si="17"/>
        <v>0</v>
      </c>
      <c r="AG13" s="86">
        <f t="shared" si="18"/>
        <v>0</v>
      </c>
      <c r="AH13" s="86">
        <f t="shared" si="19"/>
        <v>0</v>
      </c>
      <c r="AI13" s="86">
        <f t="shared" si="20"/>
        <v>0</v>
      </c>
      <c r="AJ13" s="86">
        <f>IF(AND(R13=0,S13&lt;&gt;0,Erfassung!Z16=1),1,0)</f>
        <v>0</v>
      </c>
      <c r="AK13" s="33">
        <f t="shared" si="21"/>
        <v>0</v>
      </c>
      <c r="AM13" s="2">
        <v>9</v>
      </c>
      <c r="AN13" s="21">
        <f>Rechnen!L16</f>
        <v>2846</v>
      </c>
      <c r="AO13" s="19">
        <f t="shared" si="0"/>
        <v>316.2</v>
      </c>
      <c r="AP13" s="19">
        <f t="shared" si="1"/>
        <v>0</v>
      </c>
      <c r="AR13" s="21">
        <f t="shared" si="22"/>
        <v>2846</v>
      </c>
      <c r="AS13" s="21">
        <f t="shared" si="2"/>
        <v>0</v>
      </c>
      <c r="AY13" s="21">
        <f>Rechnen!X16</f>
        <v>3186</v>
      </c>
      <c r="AZ13" s="19">
        <f t="shared" si="3"/>
        <v>354</v>
      </c>
      <c r="BA13" s="19">
        <f t="shared" si="4"/>
        <v>0</v>
      </c>
      <c r="BC13" s="20">
        <f t="shared" si="23"/>
        <v>0</v>
      </c>
      <c r="BD13" s="20">
        <f t="shared" si="24"/>
        <v>0</v>
      </c>
      <c r="BE13" s="20">
        <f t="shared" si="25"/>
        <v>0</v>
      </c>
      <c r="BG13" s="27">
        <f>Einnahmen!W18</f>
        <v>0</v>
      </c>
      <c r="BH13" s="27">
        <f t="shared" si="26"/>
        <v>0</v>
      </c>
      <c r="BI13" s="27">
        <f t="shared" si="6"/>
        <v>0</v>
      </c>
    </row>
    <row r="14" spans="2:69" x14ac:dyDescent="0.25">
      <c r="B14" s="276">
        <f>Erfassung!B17</f>
        <v>0</v>
      </c>
      <c r="C14" s="274"/>
      <c r="D14" s="28">
        <f>Erfassung!D17</f>
        <v>0</v>
      </c>
      <c r="E14" s="28">
        <f>Erfassung!E17</f>
        <v>0</v>
      </c>
      <c r="F14" s="2">
        <f>Erfassung!F17</f>
        <v>0</v>
      </c>
      <c r="G14" s="2">
        <f>Erfassung!G17</f>
        <v>0</v>
      </c>
      <c r="H14" s="2">
        <f>Erfassung!H17</f>
        <v>0</v>
      </c>
      <c r="I14" s="2">
        <f>Erfassung!I17</f>
        <v>0</v>
      </c>
      <c r="J14" s="2">
        <f>Erfassung!J17</f>
        <v>0</v>
      </c>
      <c r="K14" s="2">
        <f>Erfassung!K17</f>
        <v>0</v>
      </c>
      <c r="L14" s="2">
        <f>Erfassung!L17</f>
        <v>0</v>
      </c>
      <c r="M14" s="2">
        <f>Erfassung!M17</f>
        <v>0</v>
      </c>
      <c r="N14" s="2">
        <f>Erfassung!N17</f>
        <v>0</v>
      </c>
      <c r="O14" s="27">
        <f>Erfassung!O17-Erfassung!P17</f>
        <v>0</v>
      </c>
      <c r="P14" s="285">
        <f t="shared" si="7"/>
        <v>0</v>
      </c>
      <c r="R14" s="286"/>
      <c r="S14" s="286"/>
      <c r="T14" s="94"/>
      <c r="U14" s="2">
        <f t="shared" si="8"/>
        <v>0</v>
      </c>
      <c r="V14" s="2">
        <f t="shared" si="9"/>
        <v>0</v>
      </c>
      <c r="W14" s="85">
        <f t="shared" si="10"/>
        <v>0</v>
      </c>
      <c r="X14" s="85">
        <f t="shared" si="27"/>
        <v>0</v>
      </c>
      <c r="Y14" s="85">
        <f t="shared" si="11"/>
        <v>0</v>
      </c>
      <c r="Z14" s="85">
        <f t="shared" si="12"/>
        <v>0</v>
      </c>
      <c r="AA14" s="75">
        <f t="shared" si="13"/>
        <v>0</v>
      </c>
      <c r="AB14" s="85">
        <f t="shared" si="14"/>
        <v>0</v>
      </c>
      <c r="AC14" s="85">
        <f t="shared" si="15"/>
        <v>0</v>
      </c>
      <c r="AD14" s="85">
        <f t="shared" si="16"/>
        <v>0</v>
      </c>
      <c r="AE14" s="85">
        <f>IF(AND(U14=1,V14=0),Z14,IF(AND(R14&lt;&gt;0,S14=0,Erfassung!Z17=1),1,0))</f>
        <v>0</v>
      </c>
      <c r="AF14" s="75">
        <f t="shared" si="17"/>
        <v>0</v>
      </c>
      <c r="AG14" s="86">
        <f t="shared" si="18"/>
        <v>0</v>
      </c>
      <c r="AH14" s="86">
        <f t="shared" si="19"/>
        <v>0</v>
      </c>
      <c r="AI14" s="86">
        <f t="shared" si="20"/>
        <v>0</v>
      </c>
      <c r="AJ14" s="86">
        <f>IF(AND(R14=0,S14&lt;&gt;0,Erfassung!Z17=1),1,0)</f>
        <v>0</v>
      </c>
      <c r="AK14" s="33">
        <f t="shared" si="21"/>
        <v>0</v>
      </c>
      <c r="AM14" s="2">
        <v>10</v>
      </c>
      <c r="AN14" s="21">
        <f>Rechnen!L17</f>
        <v>2949</v>
      </c>
      <c r="AO14" s="19">
        <f t="shared" si="0"/>
        <v>294.89999999999998</v>
      </c>
      <c r="AP14" s="19">
        <f t="shared" si="1"/>
        <v>0</v>
      </c>
      <c r="AR14" s="21">
        <f t="shared" si="22"/>
        <v>2949</v>
      </c>
      <c r="AS14" s="21">
        <f t="shared" si="2"/>
        <v>0</v>
      </c>
      <c r="AY14" s="21">
        <f>Rechnen!X17</f>
        <v>3386</v>
      </c>
      <c r="AZ14" s="19">
        <f t="shared" si="3"/>
        <v>338.6</v>
      </c>
      <c r="BA14" s="19">
        <f t="shared" si="4"/>
        <v>0</v>
      </c>
      <c r="BC14" s="20">
        <f t="shared" si="23"/>
        <v>0</v>
      </c>
      <c r="BD14" s="20">
        <f t="shared" si="24"/>
        <v>0</v>
      </c>
      <c r="BE14" s="20">
        <f t="shared" si="25"/>
        <v>0</v>
      </c>
      <c r="BG14" s="27">
        <f>Einnahmen!W19</f>
        <v>0</v>
      </c>
      <c r="BH14" s="27">
        <f t="shared" si="26"/>
        <v>0</v>
      </c>
      <c r="BI14" s="27">
        <f t="shared" si="6"/>
        <v>0</v>
      </c>
    </row>
    <row r="15" spans="2:69" x14ac:dyDescent="0.25">
      <c r="B15" s="276">
        <f>Erfassung!B18</f>
        <v>0</v>
      </c>
      <c r="C15" s="274"/>
      <c r="D15" s="28">
        <f>Erfassung!D18</f>
        <v>0</v>
      </c>
      <c r="E15" s="28">
        <f>Erfassung!E18</f>
        <v>0</v>
      </c>
      <c r="F15" s="2">
        <f>Erfassung!F18</f>
        <v>0</v>
      </c>
      <c r="G15" s="2">
        <f>Erfassung!G18</f>
        <v>0</v>
      </c>
      <c r="H15" s="2">
        <f>Erfassung!H18</f>
        <v>0</v>
      </c>
      <c r="I15" s="2">
        <f>Erfassung!I18</f>
        <v>0</v>
      </c>
      <c r="J15" s="2">
        <f>Erfassung!J18</f>
        <v>0</v>
      </c>
      <c r="K15" s="2">
        <f>Erfassung!K18</f>
        <v>0</v>
      </c>
      <c r="L15" s="2">
        <f>Erfassung!L18</f>
        <v>0</v>
      </c>
      <c r="M15" s="2">
        <f>Erfassung!M18</f>
        <v>0</v>
      </c>
      <c r="N15" s="2">
        <f>Erfassung!N18</f>
        <v>0</v>
      </c>
      <c r="O15" s="27">
        <f>Erfassung!O18-Erfassung!P18</f>
        <v>0</v>
      </c>
      <c r="P15" s="285">
        <f t="shared" si="7"/>
        <v>0</v>
      </c>
      <c r="R15" s="286"/>
      <c r="S15" s="286"/>
      <c r="T15" s="94"/>
      <c r="U15" s="2">
        <f t="shared" si="8"/>
        <v>0</v>
      </c>
      <c r="V15" s="2">
        <f t="shared" si="9"/>
        <v>0</v>
      </c>
      <c r="W15" s="85">
        <f t="shared" si="10"/>
        <v>0</v>
      </c>
      <c r="X15" s="85">
        <f t="shared" si="27"/>
        <v>0</v>
      </c>
      <c r="Y15" s="85">
        <f t="shared" si="11"/>
        <v>0</v>
      </c>
      <c r="Z15" s="85">
        <f t="shared" si="12"/>
        <v>0</v>
      </c>
      <c r="AA15" s="75">
        <f t="shared" si="13"/>
        <v>0</v>
      </c>
      <c r="AB15" s="85">
        <f t="shared" si="14"/>
        <v>0</v>
      </c>
      <c r="AC15" s="85">
        <f t="shared" si="15"/>
        <v>0</v>
      </c>
      <c r="AD15" s="85">
        <f t="shared" si="16"/>
        <v>0</v>
      </c>
      <c r="AE15" s="85">
        <f>IF(AND(U15=1,V15=0),Z15,IF(AND(R15&lt;&gt;0,S15=0,Erfassung!Z18=1),1,0))</f>
        <v>0</v>
      </c>
      <c r="AF15" s="75">
        <f t="shared" si="17"/>
        <v>0</v>
      </c>
      <c r="AG15" s="86">
        <f t="shared" si="18"/>
        <v>0</v>
      </c>
      <c r="AH15" s="86">
        <f t="shared" si="19"/>
        <v>0</v>
      </c>
      <c r="AI15" s="86">
        <f t="shared" si="20"/>
        <v>0</v>
      </c>
      <c r="AJ15" s="86">
        <f>IF(AND(R15=0,S15&lt;&gt;0,Erfassung!Z18=1),1,0)</f>
        <v>0</v>
      </c>
      <c r="AK15" s="33">
        <f t="shared" si="21"/>
        <v>0</v>
      </c>
      <c r="AM15" s="2">
        <v>11</v>
      </c>
      <c r="AN15" s="21">
        <f>Rechnen!L18</f>
        <v>3144</v>
      </c>
      <c r="AO15" s="19">
        <f t="shared" si="0"/>
        <v>285.8</v>
      </c>
      <c r="AP15" s="19">
        <f t="shared" si="1"/>
        <v>0</v>
      </c>
      <c r="AR15" s="21">
        <f t="shared" si="22"/>
        <v>3144</v>
      </c>
      <c r="AS15" s="21">
        <f t="shared" si="2"/>
        <v>0</v>
      </c>
      <c r="AY15" s="21">
        <f>Rechnen!X18</f>
        <v>3586</v>
      </c>
      <c r="AZ15" s="19">
        <f t="shared" si="3"/>
        <v>326</v>
      </c>
      <c r="BA15" s="19">
        <f t="shared" si="4"/>
        <v>0</v>
      </c>
      <c r="BC15" s="20">
        <f t="shared" si="23"/>
        <v>0</v>
      </c>
      <c r="BD15" s="20">
        <f t="shared" si="24"/>
        <v>0</v>
      </c>
      <c r="BE15" s="20">
        <f t="shared" si="25"/>
        <v>0</v>
      </c>
      <c r="BG15" s="27">
        <f>Einnahmen!W20</f>
        <v>0</v>
      </c>
      <c r="BH15" s="27">
        <f t="shared" si="26"/>
        <v>0</v>
      </c>
      <c r="BI15" s="27">
        <f t="shared" si="6"/>
        <v>0</v>
      </c>
    </row>
    <row r="16" spans="2:69" x14ac:dyDescent="0.25">
      <c r="B16" s="276">
        <f>Erfassung!B19</f>
        <v>0</v>
      </c>
      <c r="C16" s="274"/>
      <c r="D16" s="28">
        <f>Erfassung!D19</f>
        <v>0</v>
      </c>
      <c r="E16" s="28">
        <f>Erfassung!E19</f>
        <v>0</v>
      </c>
      <c r="F16" s="2">
        <f>Erfassung!F19</f>
        <v>0</v>
      </c>
      <c r="G16" s="2">
        <f>Erfassung!G19</f>
        <v>0</v>
      </c>
      <c r="H16" s="2">
        <f>Erfassung!H19</f>
        <v>0</v>
      </c>
      <c r="I16" s="2">
        <f>Erfassung!I19</f>
        <v>0</v>
      </c>
      <c r="J16" s="2">
        <f>Erfassung!J19</f>
        <v>0</v>
      </c>
      <c r="K16" s="2">
        <f>Erfassung!K19</f>
        <v>0</v>
      </c>
      <c r="L16" s="2">
        <f>Erfassung!L19</f>
        <v>0</v>
      </c>
      <c r="M16" s="2">
        <f>Erfassung!M19</f>
        <v>0</v>
      </c>
      <c r="N16" s="2">
        <f>Erfassung!N19</f>
        <v>0</v>
      </c>
      <c r="O16" s="27">
        <f>Erfassung!O19-Erfassung!P19</f>
        <v>0</v>
      </c>
      <c r="P16" s="285">
        <f t="shared" si="7"/>
        <v>0</v>
      </c>
      <c r="R16" s="286"/>
      <c r="S16" s="286"/>
      <c r="T16" s="94"/>
      <c r="U16" s="2">
        <f t="shared" si="8"/>
        <v>0</v>
      </c>
      <c r="V16" s="2">
        <f t="shared" si="9"/>
        <v>0</v>
      </c>
      <c r="W16" s="85">
        <f t="shared" si="10"/>
        <v>0</v>
      </c>
      <c r="X16" s="85">
        <f t="shared" si="27"/>
        <v>0</v>
      </c>
      <c r="Y16" s="85">
        <f t="shared" si="11"/>
        <v>0</v>
      </c>
      <c r="Z16" s="85">
        <f t="shared" si="12"/>
        <v>0</v>
      </c>
      <c r="AA16" s="75">
        <f t="shared" si="13"/>
        <v>0</v>
      </c>
      <c r="AB16" s="85">
        <f t="shared" si="14"/>
        <v>0</v>
      </c>
      <c r="AC16" s="85">
        <f t="shared" si="15"/>
        <v>0</v>
      </c>
      <c r="AD16" s="85">
        <f t="shared" si="16"/>
        <v>0</v>
      </c>
      <c r="AE16" s="85">
        <f>IF(AND(U16=1,V16=0),Z16,IF(AND(R16&lt;&gt;0,S16=0,Erfassung!Z19=1),1,0))</f>
        <v>0</v>
      </c>
      <c r="AF16" s="75">
        <f t="shared" si="17"/>
        <v>0</v>
      </c>
      <c r="AG16" s="86">
        <f t="shared" si="18"/>
        <v>0</v>
      </c>
      <c r="AH16" s="86">
        <f t="shared" si="19"/>
        <v>0</v>
      </c>
      <c r="AI16" s="86">
        <f t="shared" si="20"/>
        <v>0</v>
      </c>
      <c r="AJ16" s="86">
        <f>IF(AND(R16=0,S16&lt;&gt;0,Erfassung!Z19=1),1,0)</f>
        <v>0</v>
      </c>
      <c r="AK16" s="33">
        <f t="shared" si="21"/>
        <v>0</v>
      </c>
      <c r="AM16" s="2">
        <v>12</v>
      </c>
      <c r="AN16" s="21">
        <f>Rechnen!L19</f>
        <v>3357</v>
      </c>
      <c r="AO16" s="19">
        <f t="shared" si="0"/>
        <v>279.75</v>
      </c>
      <c r="AP16" s="19">
        <f t="shared" si="1"/>
        <v>0</v>
      </c>
      <c r="AR16" s="21">
        <f t="shared" si="22"/>
        <v>3357</v>
      </c>
      <c r="AS16" s="21">
        <f t="shared" si="2"/>
        <v>0</v>
      </c>
      <c r="AY16" s="21">
        <f>Rechnen!X19</f>
        <v>3786</v>
      </c>
      <c r="AZ16" s="19">
        <f t="shared" si="3"/>
        <v>315.5</v>
      </c>
      <c r="BA16" s="19">
        <f t="shared" si="4"/>
        <v>0</v>
      </c>
      <c r="BC16" s="20">
        <f t="shared" si="23"/>
        <v>0</v>
      </c>
      <c r="BD16" s="20">
        <f t="shared" si="24"/>
        <v>0</v>
      </c>
      <c r="BE16" s="20">
        <f t="shared" si="25"/>
        <v>0</v>
      </c>
      <c r="BG16" s="27">
        <f>Einnahmen!W21</f>
        <v>0</v>
      </c>
      <c r="BH16" s="27">
        <f t="shared" si="26"/>
        <v>0</v>
      </c>
      <c r="BI16" s="27">
        <f t="shared" si="6"/>
        <v>0</v>
      </c>
    </row>
    <row r="17" spans="2:64" x14ac:dyDescent="0.25">
      <c r="B17" s="276">
        <f>Erfassung!B20</f>
        <v>0</v>
      </c>
      <c r="C17" s="274"/>
      <c r="D17" s="28">
        <f>Erfassung!D20</f>
        <v>0</v>
      </c>
      <c r="E17" s="28">
        <f>Erfassung!E20</f>
        <v>0</v>
      </c>
      <c r="F17" s="2">
        <f>Erfassung!F20</f>
        <v>0</v>
      </c>
      <c r="G17" s="2">
        <f>Erfassung!G20</f>
        <v>0</v>
      </c>
      <c r="H17" s="2">
        <f>Erfassung!H20</f>
        <v>0</v>
      </c>
      <c r="I17" s="2">
        <f>Erfassung!I20</f>
        <v>0</v>
      </c>
      <c r="J17" s="2">
        <f>Erfassung!J20</f>
        <v>0</v>
      </c>
      <c r="K17" s="2">
        <f>Erfassung!K20</f>
        <v>0</v>
      </c>
      <c r="L17" s="2">
        <f>Erfassung!L20</f>
        <v>0</v>
      </c>
      <c r="M17" s="2">
        <f>Erfassung!M20</f>
        <v>0</v>
      </c>
      <c r="N17" s="2">
        <f>Erfassung!N20</f>
        <v>0</v>
      </c>
      <c r="O17" s="27">
        <f>Erfassung!O20-Erfassung!P20</f>
        <v>0</v>
      </c>
      <c r="P17" s="285">
        <f t="shared" si="7"/>
        <v>0</v>
      </c>
      <c r="R17" s="286"/>
      <c r="S17" s="286"/>
      <c r="T17" s="94"/>
      <c r="U17" s="2">
        <f t="shared" si="8"/>
        <v>0</v>
      </c>
      <c r="V17" s="2">
        <f t="shared" si="9"/>
        <v>0</v>
      </c>
      <c r="W17" s="85">
        <f t="shared" si="10"/>
        <v>0</v>
      </c>
      <c r="X17" s="85">
        <f t="shared" si="27"/>
        <v>0</v>
      </c>
      <c r="Y17" s="85">
        <f t="shared" si="11"/>
        <v>0</v>
      </c>
      <c r="Z17" s="85">
        <f t="shared" si="12"/>
        <v>0</v>
      </c>
      <c r="AA17" s="75">
        <f t="shared" si="13"/>
        <v>0</v>
      </c>
      <c r="AB17" s="85">
        <f t="shared" si="14"/>
        <v>0</v>
      </c>
      <c r="AC17" s="85">
        <f t="shared" si="15"/>
        <v>0</v>
      </c>
      <c r="AD17" s="85">
        <f t="shared" si="16"/>
        <v>0</v>
      </c>
      <c r="AE17" s="85">
        <f>IF(AND(U17=1,V17=0),Z17,IF(AND(R17&lt;&gt;0,S17=0,Erfassung!Z20=1),1,0))</f>
        <v>0</v>
      </c>
      <c r="AF17" s="75">
        <f t="shared" si="17"/>
        <v>0</v>
      </c>
      <c r="AG17" s="86">
        <f t="shared" si="18"/>
        <v>0</v>
      </c>
      <c r="AH17" s="86">
        <f t="shared" si="19"/>
        <v>0</v>
      </c>
      <c r="AI17" s="86">
        <f t="shared" si="20"/>
        <v>0</v>
      </c>
      <c r="AJ17" s="86">
        <f>IF(AND(R17=0,S17&lt;&gt;0,Erfassung!Z20=1),1,0)</f>
        <v>0</v>
      </c>
      <c r="AK17" s="33">
        <f t="shared" si="21"/>
        <v>0</v>
      </c>
      <c r="AP17" s="83">
        <f>SUM(AP5:AP16)</f>
        <v>0</v>
      </c>
      <c r="AR17" s="89"/>
      <c r="AS17" s="88"/>
      <c r="BA17" s="83">
        <f>SUM(BA5:BA16)</f>
        <v>0</v>
      </c>
      <c r="BC17" s="20">
        <f t="shared" si="23"/>
        <v>0</v>
      </c>
      <c r="BD17" s="20">
        <f t="shared" si="24"/>
        <v>0</v>
      </c>
      <c r="BE17" s="20">
        <f t="shared" si="25"/>
        <v>0</v>
      </c>
      <c r="BG17" s="27">
        <f>Einnahmen!W22</f>
        <v>0</v>
      </c>
      <c r="BH17" s="27">
        <f t="shared" si="26"/>
        <v>0</v>
      </c>
      <c r="BI17" s="27">
        <f t="shared" si="6"/>
        <v>0</v>
      </c>
    </row>
    <row r="18" spans="2:64" x14ac:dyDescent="0.25">
      <c r="B18" s="276">
        <f>Erfassung!B21</f>
        <v>0</v>
      </c>
      <c r="C18" s="274"/>
      <c r="D18" s="28">
        <f>Erfassung!D21</f>
        <v>0</v>
      </c>
      <c r="E18" s="28">
        <f>Erfassung!E21</f>
        <v>0</v>
      </c>
      <c r="F18" s="2">
        <f>Erfassung!F21</f>
        <v>0</v>
      </c>
      <c r="G18" s="2">
        <f>Erfassung!G21</f>
        <v>0</v>
      </c>
      <c r="H18" s="2">
        <f>Erfassung!H21</f>
        <v>0</v>
      </c>
      <c r="I18" s="2">
        <f>Erfassung!I21</f>
        <v>0</v>
      </c>
      <c r="J18" s="2">
        <f>Erfassung!J21</f>
        <v>0</v>
      </c>
      <c r="K18" s="2">
        <f>Erfassung!K21</f>
        <v>0</v>
      </c>
      <c r="L18" s="2">
        <f>Erfassung!L21</f>
        <v>0</v>
      </c>
      <c r="M18" s="2">
        <f>Erfassung!M21</f>
        <v>0</v>
      </c>
      <c r="N18" s="2">
        <f>Erfassung!N21</f>
        <v>0</v>
      </c>
      <c r="O18" s="27">
        <f>Erfassung!O21-Erfassung!P21</f>
        <v>0</v>
      </c>
      <c r="P18" s="285">
        <f t="shared" si="7"/>
        <v>0</v>
      </c>
      <c r="R18" s="286"/>
      <c r="S18" s="286"/>
      <c r="T18" s="94"/>
      <c r="U18" s="2">
        <f t="shared" si="8"/>
        <v>0</v>
      </c>
      <c r="V18" s="2">
        <f t="shared" si="9"/>
        <v>0</v>
      </c>
      <c r="W18" s="85">
        <f t="shared" si="10"/>
        <v>0</v>
      </c>
      <c r="X18" s="85">
        <f t="shared" si="27"/>
        <v>0</v>
      </c>
      <c r="Y18" s="85">
        <f t="shared" si="11"/>
        <v>0</v>
      </c>
      <c r="Z18" s="85">
        <f t="shared" si="12"/>
        <v>0</v>
      </c>
      <c r="AA18" s="75">
        <f t="shared" si="13"/>
        <v>0</v>
      </c>
      <c r="AB18" s="85">
        <f t="shared" si="14"/>
        <v>0</v>
      </c>
      <c r="AC18" s="85">
        <f t="shared" si="15"/>
        <v>0</v>
      </c>
      <c r="AD18" s="85">
        <f t="shared" si="16"/>
        <v>0</v>
      </c>
      <c r="AE18" s="85">
        <f>IF(AND(U18=1,V18=0),Z18,IF(AND(R18&lt;&gt;0,S18=0,Erfassung!Z21=1),1,0))</f>
        <v>0</v>
      </c>
      <c r="AF18" s="75">
        <f t="shared" si="17"/>
        <v>0</v>
      </c>
      <c r="AG18" s="86">
        <f t="shared" si="18"/>
        <v>0</v>
      </c>
      <c r="AH18" s="86">
        <f t="shared" si="19"/>
        <v>0</v>
      </c>
      <c r="AI18" s="86">
        <f t="shared" si="20"/>
        <v>0</v>
      </c>
      <c r="AJ18" s="86">
        <f>IF(AND(R18=0,S18&lt;&gt;0,Erfassung!Z21=1),1,0)</f>
        <v>0</v>
      </c>
      <c r="AK18" s="33">
        <f t="shared" si="21"/>
        <v>0</v>
      </c>
      <c r="AR18" s="89"/>
      <c r="AS18" s="88"/>
      <c r="BC18" s="20">
        <f t="shared" si="23"/>
        <v>0</v>
      </c>
      <c r="BD18" s="20">
        <f t="shared" si="24"/>
        <v>0</v>
      </c>
      <c r="BE18" s="20">
        <f t="shared" si="25"/>
        <v>0</v>
      </c>
      <c r="BG18" s="27">
        <f>Einnahmen!W23</f>
        <v>0</v>
      </c>
      <c r="BH18" s="27">
        <f t="shared" si="26"/>
        <v>0</v>
      </c>
      <c r="BI18" s="27">
        <f t="shared" si="6"/>
        <v>0</v>
      </c>
    </row>
    <row r="19" spans="2:64" x14ac:dyDescent="0.25">
      <c r="B19" s="276">
        <f>Erfassung!B22</f>
        <v>0</v>
      </c>
      <c r="C19" s="274"/>
      <c r="D19" s="28">
        <f>Erfassung!D22</f>
        <v>0</v>
      </c>
      <c r="E19" s="28">
        <f>Erfassung!E22</f>
        <v>0</v>
      </c>
      <c r="F19" s="2">
        <f>Erfassung!F22</f>
        <v>0</v>
      </c>
      <c r="G19" s="2">
        <f>Erfassung!G22</f>
        <v>0</v>
      </c>
      <c r="H19" s="2">
        <f>Erfassung!H22</f>
        <v>0</v>
      </c>
      <c r="I19" s="2">
        <f>Erfassung!I22</f>
        <v>0</v>
      </c>
      <c r="J19" s="2">
        <f>Erfassung!J22</f>
        <v>0</v>
      </c>
      <c r="K19" s="2">
        <f>Erfassung!K22</f>
        <v>0</v>
      </c>
      <c r="L19" s="2">
        <f>Erfassung!L22</f>
        <v>0</v>
      </c>
      <c r="M19" s="2">
        <f>Erfassung!M22</f>
        <v>0</v>
      </c>
      <c r="N19" s="2">
        <f>Erfassung!N22</f>
        <v>0</v>
      </c>
      <c r="O19" s="27">
        <f>Erfassung!O22-Erfassung!P22</f>
        <v>0</v>
      </c>
      <c r="P19" s="285">
        <f t="shared" si="7"/>
        <v>0</v>
      </c>
      <c r="R19" s="286"/>
      <c r="S19" s="286"/>
      <c r="T19" s="94"/>
      <c r="U19" s="2">
        <f t="shared" si="8"/>
        <v>0</v>
      </c>
      <c r="V19" s="2">
        <f t="shared" si="9"/>
        <v>0</v>
      </c>
      <c r="W19" s="85">
        <f t="shared" si="10"/>
        <v>0</v>
      </c>
      <c r="X19" s="85">
        <f t="shared" si="27"/>
        <v>0</v>
      </c>
      <c r="Y19" s="85">
        <f t="shared" si="11"/>
        <v>0</v>
      </c>
      <c r="Z19" s="85">
        <f t="shared" si="12"/>
        <v>0</v>
      </c>
      <c r="AA19" s="75">
        <f t="shared" si="13"/>
        <v>0</v>
      </c>
      <c r="AB19" s="85">
        <f t="shared" si="14"/>
        <v>0</v>
      </c>
      <c r="AC19" s="85">
        <f t="shared" si="15"/>
        <v>0</v>
      </c>
      <c r="AD19" s="85">
        <f t="shared" si="16"/>
        <v>0</v>
      </c>
      <c r="AE19" s="85">
        <f>IF(AND(U19=1,V19=0),Z19,IF(AND(R19&lt;&gt;0,S19=0,Erfassung!Z22=1),1,0))</f>
        <v>0</v>
      </c>
      <c r="AF19" s="75">
        <f t="shared" si="17"/>
        <v>0</v>
      </c>
      <c r="AG19" s="86">
        <f t="shared" si="18"/>
        <v>0</v>
      </c>
      <c r="AH19" s="86">
        <f t="shared" si="19"/>
        <v>0</v>
      </c>
      <c r="AI19" s="86">
        <f t="shared" si="20"/>
        <v>0</v>
      </c>
      <c r="AJ19" s="86">
        <f>IF(AND(R19=0,S19&lt;&gt;0,Erfassung!Z22=1),1,0)</f>
        <v>0</v>
      </c>
      <c r="AK19" s="33">
        <f t="shared" si="21"/>
        <v>0</v>
      </c>
      <c r="AR19" s="89"/>
      <c r="AS19" s="88"/>
      <c r="BC19" s="20">
        <f t="shared" si="23"/>
        <v>0</v>
      </c>
      <c r="BD19" s="20">
        <f t="shared" si="24"/>
        <v>0</v>
      </c>
      <c r="BE19" s="20">
        <f t="shared" si="25"/>
        <v>0</v>
      </c>
      <c r="BG19" s="27">
        <f>Einnahmen!W24</f>
        <v>0</v>
      </c>
      <c r="BH19" s="27">
        <f t="shared" si="26"/>
        <v>0</v>
      </c>
      <c r="BI19" s="27">
        <f t="shared" si="6"/>
        <v>0</v>
      </c>
    </row>
    <row r="20" spans="2:64" x14ac:dyDescent="0.25">
      <c r="B20" s="276">
        <f>Erfassung!B23</f>
        <v>0</v>
      </c>
      <c r="C20" s="274"/>
      <c r="D20" s="28">
        <f>Erfassung!D23</f>
        <v>0</v>
      </c>
      <c r="E20" s="28">
        <f>Erfassung!E23</f>
        <v>0</v>
      </c>
      <c r="F20" s="2">
        <f>Erfassung!F23</f>
        <v>0</v>
      </c>
      <c r="G20" s="2">
        <f>Erfassung!G23</f>
        <v>0</v>
      </c>
      <c r="H20" s="2">
        <f>Erfassung!H23</f>
        <v>0</v>
      </c>
      <c r="I20" s="2">
        <f>Erfassung!I23</f>
        <v>0</v>
      </c>
      <c r="J20" s="2">
        <f>Erfassung!J23</f>
        <v>0</v>
      </c>
      <c r="K20" s="2">
        <f>Erfassung!K23</f>
        <v>0</v>
      </c>
      <c r="L20" s="2">
        <f>Erfassung!L23</f>
        <v>0</v>
      </c>
      <c r="M20" s="2">
        <f>Erfassung!M23</f>
        <v>0</v>
      </c>
      <c r="N20" s="2">
        <f>Erfassung!N23</f>
        <v>0</v>
      </c>
      <c r="O20" s="27">
        <f>Erfassung!O23-Erfassung!P23</f>
        <v>0</v>
      </c>
      <c r="P20" s="285">
        <f t="shared" si="7"/>
        <v>0</v>
      </c>
      <c r="R20" s="286"/>
      <c r="S20" s="286"/>
      <c r="T20" s="94"/>
      <c r="U20" s="2">
        <f t="shared" si="8"/>
        <v>0</v>
      </c>
      <c r="V20" s="2">
        <f t="shared" si="9"/>
        <v>0</v>
      </c>
      <c r="W20" s="85">
        <f t="shared" si="10"/>
        <v>0</v>
      </c>
      <c r="X20" s="85">
        <f t="shared" si="27"/>
        <v>0</v>
      </c>
      <c r="Y20" s="85">
        <f t="shared" si="11"/>
        <v>0</v>
      </c>
      <c r="Z20" s="85">
        <f t="shared" si="12"/>
        <v>0</v>
      </c>
      <c r="AA20" s="75">
        <f t="shared" si="13"/>
        <v>0</v>
      </c>
      <c r="AB20" s="85">
        <f t="shared" si="14"/>
        <v>0</v>
      </c>
      <c r="AC20" s="85">
        <f t="shared" si="15"/>
        <v>0</v>
      </c>
      <c r="AD20" s="85">
        <f t="shared" si="16"/>
        <v>0</v>
      </c>
      <c r="AE20" s="85">
        <f>IF(AND(U20=1,V20=0),Z20,IF(AND(R20&lt;&gt;0,S20=0,Erfassung!Z23=1),1,0))</f>
        <v>0</v>
      </c>
      <c r="AF20" s="75">
        <f t="shared" si="17"/>
        <v>0</v>
      </c>
      <c r="AG20" s="86">
        <f t="shared" si="18"/>
        <v>0</v>
      </c>
      <c r="AH20" s="86">
        <f t="shared" si="19"/>
        <v>0</v>
      </c>
      <c r="AI20" s="86">
        <f t="shared" si="20"/>
        <v>0</v>
      </c>
      <c r="AJ20" s="86">
        <f>IF(AND(R20=0,S20&lt;&gt;0,Erfassung!Z23=1),1,0)</f>
        <v>0</v>
      </c>
      <c r="AK20" s="33">
        <f t="shared" si="21"/>
        <v>0</v>
      </c>
      <c r="AN20" s="2" t="s">
        <v>322</v>
      </c>
      <c r="AO20" s="2">
        <f>AC22</f>
        <v>0</v>
      </c>
      <c r="AP20" s="2">
        <f>AH22</f>
        <v>0</v>
      </c>
      <c r="AR20" s="9">
        <f>AD22</f>
        <v>0</v>
      </c>
      <c r="AS20" s="11">
        <f>AI22</f>
        <v>0</v>
      </c>
      <c r="AZ20" s="2">
        <f>AB22</f>
        <v>0</v>
      </c>
      <c r="BA20" s="2">
        <f>AG22</f>
        <v>0</v>
      </c>
      <c r="BC20" s="20">
        <f t="shared" si="23"/>
        <v>0</v>
      </c>
      <c r="BD20" s="20">
        <f t="shared" si="24"/>
        <v>0</v>
      </c>
      <c r="BE20" s="20">
        <f t="shared" si="25"/>
        <v>0</v>
      </c>
      <c r="BG20" s="27">
        <f>Einnahmen!W25</f>
        <v>0</v>
      </c>
      <c r="BH20" s="27">
        <f t="shared" si="26"/>
        <v>0</v>
      </c>
      <c r="BI20" s="27">
        <f t="shared" si="6"/>
        <v>0</v>
      </c>
    </row>
    <row r="21" spans="2:64" x14ac:dyDescent="0.25">
      <c r="B21" s="276">
        <f>Erfassung!B24</f>
        <v>0</v>
      </c>
      <c r="C21" s="274"/>
      <c r="D21" s="28">
        <f>Erfassung!D24</f>
        <v>0</v>
      </c>
      <c r="E21" s="28">
        <f>Erfassung!E24</f>
        <v>0</v>
      </c>
      <c r="F21" s="2">
        <f>Erfassung!F24</f>
        <v>0</v>
      </c>
      <c r="G21" s="2">
        <f>Erfassung!G24</f>
        <v>0</v>
      </c>
      <c r="H21" s="2">
        <f>Erfassung!H24</f>
        <v>0</v>
      </c>
      <c r="I21" s="2">
        <f>Erfassung!I24</f>
        <v>0</v>
      </c>
      <c r="J21" s="2">
        <f>Erfassung!J24</f>
        <v>0</v>
      </c>
      <c r="K21" s="2">
        <f>Erfassung!K24</f>
        <v>0</v>
      </c>
      <c r="L21" s="2">
        <f>Erfassung!L24</f>
        <v>0</v>
      </c>
      <c r="M21" s="2">
        <f>Erfassung!M24</f>
        <v>0</v>
      </c>
      <c r="N21" s="2">
        <f>Erfassung!N24</f>
        <v>0</v>
      </c>
      <c r="O21" s="27">
        <f>Erfassung!O24-Erfassung!P24</f>
        <v>0</v>
      </c>
      <c r="P21" s="285">
        <f t="shared" si="7"/>
        <v>0</v>
      </c>
      <c r="R21" s="286"/>
      <c r="S21" s="286"/>
      <c r="T21" s="94"/>
      <c r="U21" s="2">
        <f t="shared" si="8"/>
        <v>0</v>
      </c>
      <c r="V21" s="2">
        <f t="shared" si="9"/>
        <v>0</v>
      </c>
      <c r="W21" s="87">
        <f t="shared" si="10"/>
        <v>0</v>
      </c>
      <c r="X21" s="87">
        <f t="shared" si="27"/>
        <v>0</v>
      </c>
      <c r="Y21" s="87">
        <f t="shared" si="11"/>
        <v>0</v>
      </c>
      <c r="Z21" s="87">
        <f t="shared" si="12"/>
        <v>0</v>
      </c>
      <c r="AA21" s="75">
        <f t="shared" si="13"/>
        <v>0</v>
      </c>
      <c r="AB21" s="85">
        <f t="shared" si="14"/>
        <v>0</v>
      </c>
      <c r="AC21" s="85">
        <f t="shared" si="15"/>
        <v>0</v>
      </c>
      <c r="AD21" s="85">
        <f t="shared" si="16"/>
        <v>0</v>
      </c>
      <c r="AE21" s="85">
        <f>IF(AND(U21=1,V21=0),Z21,IF(AND(R21&lt;&gt;0,S21=0,Erfassung!Z24=1),1,0))</f>
        <v>0</v>
      </c>
      <c r="AF21" s="75">
        <f t="shared" si="17"/>
        <v>0</v>
      </c>
      <c r="AG21" s="87">
        <f t="shared" si="18"/>
        <v>0</v>
      </c>
      <c r="AH21" s="87">
        <f t="shared" si="19"/>
        <v>0</v>
      </c>
      <c r="AI21" s="87">
        <f t="shared" si="20"/>
        <v>0</v>
      </c>
      <c r="AJ21" s="87">
        <f>IF(AND(R21=0,S21&lt;&gt;0,Erfassung!Z24=1),1,0)</f>
        <v>0</v>
      </c>
      <c r="AK21" s="36">
        <f t="shared" si="21"/>
        <v>0</v>
      </c>
      <c r="AO21" s="27">
        <f>AO20*$AP$17</f>
        <v>0</v>
      </c>
      <c r="AP21" s="27">
        <f>AP20*$AP$17</f>
        <v>0</v>
      </c>
      <c r="AR21" s="90">
        <f>IF(AR20&gt;0,SUM(AS5:AS16),0)</f>
        <v>0</v>
      </c>
      <c r="AS21" s="36">
        <f>IF(AS20&gt;0,SUM(AS5:AS16),0)</f>
        <v>0</v>
      </c>
      <c r="AU21" s="27">
        <f>AE22*AU2*AU5</f>
        <v>0</v>
      </c>
      <c r="AV21" s="27">
        <f>AJ22*AU2*AU5</f>
        <v>0</v>
      </c>
      <c r="AZ21" s="27">
        <f>AZ20*$BA$17</f>
        <v>0</v>
      </c>
      <c r="BA21" s="27">
        <f>BA20*$BA$17</f>
        <v>0</v>
      </c>
      <c r="BC21" s="20">
        <f>IF(AND(U21=1,V21=0),1,IF(AND(R21&lt;&gt;0,S21=0,$BC$7=0),0,IF(AND(R21&lt;&gt;0,S21=0,$BC$7=1),1,0)))</f>
        <v>0</v>
      </c>
      <c r="BD21" s="20">
        <f t="shared" si="24"/>
        <v>0</v>
      </c>
      <c r="BE21" s="20">
        <f t="shared" si="25"/>
        <v>0</v>
      </c>
      <c r="BG21" s="27">
        <f>Einnahmen!W26</f>
        <v>0</v>
      </c>
      <c r="BH21" s="27">
        <f t="shared" si="26"/>
        <v>0</v>
      </c>
      <c r="BI21" s="27">
        <f t="shared" si="6"/>
        <v>0</v>
      </c>
    </row>
    <row r="22" spans="2:64" hidden="1" x14ac:dyDescent="0.25">
      <c r="B22" s="2"/>
      <c r="C22" s="27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R22" s="2">
        <f>AB23</f>
        <v>0</v>
      </c>
      <c r="S22" s="2">
        <f>AG23</f>
        <v>0</v>
      </c>
      <c r="W22" s="76">
        <f>SUM(W10:W21)</f>
        <v>0</v>
      </c>
      <c r="X22" s="76">
        <f t="shared" ref="X22:Z22" si="28">SUM(X10:X21)</f>
        <v>0</v>
      </c>
      <c r="Y22" s="76">
        <f t="shared" si="28"/>
        <v>0</v>
      </c>
      <c r="Z22" s="76">
        <f t="shared" si="28"/>
        <v>0</v>
      </c>
      <c r="AA22" s="27">
        <f>SUM(AA10:AA21)</f>
        <v>0</v>
      </c>
      <c r="AB22" s="76">
        <f>SUM(AB10:AB21)</f>
        <v>0</v>
      </c>
      <c r="AC22" s="76">
        <f t="shared" ref="AC22:AG22" si="29">SUM(AC10:AC21)</f>
        <v>0</v>
      </c>
      <c r="AD22" s="76">
        <f t="shared" si="29"/>
        <v>0</v>
      </c>
      <c r="AE22" s="76">
        <f t="shared" si="29"/>
        <v>0</v>
      </c>
      <c r="AF22" s="84">
        <f t="shared" si="29"/>
        <v>0</v>
      </c>
      <c r="AG22" s="76">
        <f t="shared" si="29"/>
        <v>0</v>
      </c>
      <c r="AH22" s="76">
        <f t="shared" ref="AH22" si="30">SUM(AH10:AH21)</f>
        <v>0</v>
      </c>
      <c r="AI22" s="76">
        <f t="shared" ref="AI22" si="31">SUM(AI10:AI21)</f>
        <v>0</v>
      </c>
      <c r="AJ22" s="76">
        <f t="shared" ref="AJ22" si="32">SUM(AJ10:AJ21)</f>
        <v>0</v>
      </c>
      <c r="AK22" s="84">
        <f t="shared" ref="AK22" si="33">SUM(AK10:AK21)</f>
        <v>0</v>
      </c>
      <c r="BG22" s="275">
        <f>SUM(BG10:BG21)</f>
        <v>0</v>
      </c>
      <c r="BH22" s="27">
        <f>IF(AND(SUM(BH10:BH21)&gt;0,R7&gt;0),R7,IF(AND(R7&gt;0,SUM(BH10:BH21)=0),R7,IF(AND(R7=0,SUM(BH10:BH21)&gt;0),SUM(BH10:BH21),0)))</f>
        <v>0</v>
      </c>
      <c r="BI22" s="275">
        <f>IF(AND(SUM(BI10:BI21)&gt;0,S7&gt;0),S7,IF(AND(S7&gt;0,SUM(BI10:BI21)=0),S7,IF(AND(S7=0,SUM(BI10:BI21)&gt;0),SUM(BI10:BI21),0)))</f>
        <v>0</v>
      </c>
      <c r="BK22">
        <f>R22+S22</f>
        <v>0</v>
      </c>
    </row>
    <row r="23" spans="2:64" x14ac:dyDescent="0.25">
      <c r="B23" s="2"/>
      <c r="C23" s="27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2" t="s">
        <v>64</v>
      </c>
      <c r="AB23" s="2">
        <f>SUM(AB22:AE22)</f>
        <v>0</v>
      </c>
      <c r="AG23" s="2">
        <f>SUM(AG22:AJ22)</f>
        <v>0</v>
      </c>
    </row>
    <row r="24" spans="2:64" x14ac:dyDescent="0.25">
      <c r="P24" s="22" t="s">
        <v>280</v>
      </c>
      <c r="R24" s="41">
        <f>AZ21</f>
        <v>0</v>
      </c>
      <c r="S24" s="41">
        <f>BA21</f>
        <v>0</v>
      </c>
      <c r="T24" s="41"/>
      <c r="BK24" s="2">
        <f>Erfassung!R8</f>
        <v>0</v>
      </c>
      <c r="BL24" s="2" t="s">
        <v>307</v>
      </c>
    </row>
    <row r="25" spans="2:64" x14ac:dyDescent="0.25">
      <c r="P25" s="22" t="s">
        <v>47</v>
      </c>
      <c r="R25" s="41">
        <f>AO21</f>
        <v>0</v>
      </c>
      <c r="S25" s="41">
        <f>AP21</f>
        <v>0</v>
      </c>
      <c r="T25" s="41"/>
      <c r="BK25" s="2">
        <f>Erfassung!R9</f>
        <v>0</v>
      </c>
      <c r="BL25" s="2" t="s">
        <v>308</v>
      </c>
    </row>
    <row r="26" spans="2:64" x14ac:dyDescent="0.25">
      <c r="P26" s="22" t="s">
        <v>49</v>
      </c>
      <c r="R26" s="41">
        <f>AR21</f>
        <v>0</v>
      </c>
      <c r="S26" s="41">
        <f>AS21</f>
        <v>0</v>
      </c>
      <c r="T26" s="41"/>
      <c r="BK26" s="2">
        <f>Erfassung!R10</f>
        <v>0</v>
      </c>
      <c r="BL26" s="2" t="s">
        <v>309</v>
      </c>
    </row>
    <row r="27" spans="2:64" x14ac:dyDescent="0.25">
      <c r="P27" s="22" t="s">
        <v>134</v>
      </c>
      <c r="R27" s="91">
        <f>AU21</f>
        <v>0</v>
      </c>
      <c r="S27" s="91">
        <f>AV21</f>
        <v>0</v>
      </c>
      <c r="T27" s="92"/>
      <c r="BK27" s="2">
        <f>Erfassung!R11</f>
        <v>0</v>
      </c>
      <c r="BL27" s="2" t="s">
        <v>316</v>
      </c>
    </row>
    <row r="28" spans="2:64" x14ac:dyDescent="0.25">
      <c r="R28" s="41">
        <f>SUM(R24:R27)</f>
        <v>0</v>
      </c>
      <c r="S28" s="41">
        <f>SUM(S24:S27)</f>
        <v>0</v>
      </c>
      <c r="T28" s="41">
        <f>SUM(R28:S28)</f>
        <v>0</v>
      </c>
    </row>
    <row r="29" spans="2:64" hidden="1" x14ac:dyDescent="0.25">
      <c r="T29" s="41"/>
    </row>
    <row r="30" spans="2:64" x14ac:dyDescent="0.25">
      <c r="P30" s="22" t="s">
        <v>107</v>
      </c>
      <c r="Q30" s="325">
        <f>AH33</f>
        <v>0</v>
      </c>
      <c r="R30" s="41">
        <f>IF(AM30&gt;0,ROUND(Q30/AM30*R22*20,0)/20,0)</f>
        <v>0</v>
      </c>
      <c r="S30" s="41">
        <f>AH33-R30</f>
        <v>0</v>
      </c>
      <c r="T30" s="41">
        <f t="shared" ref="T30:T32" si="34">SUM(R30:S30)</f>
        <v>0</v>
      </c>
      <c r="AE30" s="2">
        <f>Erfassung!W25</f>
        <v>0</v>
      </c>
      <c r="AM30" s="2">
        <f>AB23+AG23</f>
        <v>0</v>
      </c>
      <c r="AO30" s="2">
        <f>IF(AE30&gt;0,ROUND(AF33/AE30*AM30*20,0)/20,0)</f>
        <v>0</v>
      </c>
    </row>
    <row r="31" spans="2:64" hidden="1" x14ac:dyDescent="0.25">
      <c r="R31" s="41"/>
      <c r="S31" s="41"/>
      <c r="T31" s="41"/>
    </row>
    <row r="32" spans="2:64" x14ac:dyDescent="0.25">
      <c r="P32" s="22" t="s">
        <v>144</v>
      </c>
      <c r="R32" s="91">
        <f>AF22</f>
        <v>0</v>
      </c>
      <c r="S32" s="91">
        <f>AK22</f>
        <v>0</v>
      </c>
      <c r="T32" s="91">
        <f t="shared" si="34"/>
        <v>0</v>
      </c>
    </row>
    <row r="33" spans="16:67" hidden="1" x14ac:dyDescent="0.25">
      <c r="AF33" s="27">
        <f>Erfassung!Q30+Erfassung!Q31</f>
        <v>0</v>
      </c>
      <c r="AH33" s="2">
        <f>IF(AE30=AM30,AF33,IF(AE30&gt;AM30,ROUND(AF33/AE30*AM30*20,0)/20,0))</f>
        <v>0</v>
      </c>
    </row>
    <row r="34" spans="16:67" x14ac:dyDescent="0.25">
      <c r="P34" s="45"/>
      <c r="R34" s="41">
        <f>SUM(R28:R32)</f>
        <v>0</v>
      </c>
      <c r="S34" s="41">
        <f t="shared" ref="S34:T34" si="35">SUM(S28:S32)</f>
        <v>0</v>
      </c>
      <c r="T34" s="41">
        <f t="shared" si="35"/>
        <v>0</v>
      </c>
    </row>
    <row r="35" spans="16:67" hidden="1" x14ac:dyDescent="0.25"/>
    <row r="36" spans="16:67" hidden="1" x14ac:dyDescent="0.25">
      <c r="Q36" s="22"/>
      <c r="R36" s="22"/>
      <c r="S36" s="22"/>
      <c r="T36" s="22"/>
    </row>
    <row r="37" spans="16:67" hidden="1" x14ac:dyDescent="0.25">
      <c r="P37" s="22"/>
      <c r="Q37" s="22"/>
      <c r="R37" s="101"/>
      <c r="S37" s="101"/>
      <c r="T37" s="41"/>
      <c r="BC37" s="27"/>
      <c r="BE37" s="2"/>
    </row>
    <row r="38" spans="16:67" hidden="1" x14ac:dyDescent="0.25">
      <c r="P38" s="22"/>
      <c r="Q38" s="22"/>
      <c r="R38" s="22"/>
      <c r="S38" s="22"/>
      <c r="T38" s="22"/>
    </row>
    <row r="39" spans="16:67" hidden="1" x14ac:dyDescent="0.25">
      <c r="P39" s="22" t="s">
        <v>282</v>
      </c>
      <c r="Q39" s="22"/>
      <c r="R39" s="41">
        <f>R34-R37</f>
        <v>0</v>
      </c>
      <c r="S39" s="41">
        <f>S34-S37</f>
        <v>0</v>
      </c>
      <c r="T39" s="41">
        <f>R39+S39</f>
        <v>0</v>
      </c>
    </row>
    <row r="41" spans="16:67" x14ac:dyDescent="0.25">
      <c r="P41" s="22" t="s">
        <v>602</v>
      </c>
      <c r="R41" s="287"/>
      <c r="S41" s="287"/>
      <c r="T41" s="41">
        <f>SUM(R41:S41)</f>
        <v>0</v>
      </c>
    </row>
    <row r="42" spans="16:67" x14ac:dyDescent="0.25">
      <c r="T42" s="41"/>
    </row>
    <row r="43" spans="16:67" x14ac:dyDescent="0.25">
      <c r="P43" s="22" t="s">
        <v>283</v>
      </c>
      <c r="R43" s="77">
        <f>R41+R39</f>
        <v>0</v>
      </c>
      <c r="S43" s="77">
        <f>S41+S39</f>
        <v>0</v>
      </c>
      <c r="T43" s="77">
        <f>T39-T41</f>
        <v>0</v>
      </c>
    </row>
    <row r="44" spans="16:67" x14ac:dyDescent="0.25">
      <c r="P44" s="276" t="s">
        <v>272</v>
      </c>
      <c r="R44" s="96">
        <f>BH22</f>
        <v>0</v>
      </c>
      <c r="S44" s="96">
        <f>BI22</f>
        <v>0</v>
      </c>
      <c r="T44" s="96">
        <f>R44+S44</f>
        <v>0</v>
      </c>
      <c r="BG44" s="27"/>
      <c r="BH44" s="2"/>
      <c r="BL44" s="274" t="s">
        <v>589</v>
      </c>
      <c r="BM44" s="274"/>
      <c r="BN44" s="274" t="s">
        <v>590</v>
      </c>
      <c r="BO44" s="274"/>
    </row>
    <row r="45" spans="16:67" x14ac:dyDescent="0.25">
      <c r="P45" s="276">
        <f>IF(BN65&gt;0,BN44,0)</f>
        <v>0</v>
      </c>
      <c r="R45" s="96">
        <f>IF(BC7=0,BN65,0)</f>
        <v>0</v>
      </c>
      <c r="S45" s="27">
        <f>IF(BD7=0,BN65,0)</f>
        <v>0</v>
      </c>
      <c r="BG45" s="27"/>
      <c r="BH45" s="2"/>
    </row>
    <row r="46" spans="16:67" hidden="1" x14ac:dyDescent="0.25">
      <c r="R46" s="27"/>
      <c r="S46" s="27"/>
      <c r="BG46" s="27"/>
      <c r="BH46" s="2"/>
    </row>
    <row r="47" spans="16:67" hidden="1" x14ac:dyDescent="0.25">
      <c r="P47" s="2"/>
      <c r="Q47" s="2"/>
      <c r="BG47" s="27"/>
      <c r="BH47" s="2"/>
    </row>
    <row r="48" spans="16:67" hidden="1" x14ac:dyDescent="0.25">
      <c r="P48" s="2"/>
      <c r="Q48" s="2"/>
      <c r="R48" s="27">
        <f>BH22</f>
        <v>0</v>
      </c>
      <c r="S48" s="27">
        <f>BI22</f>
        <v>0</v>
      </c>
    </row>
    <row r="49" spans="16:67" hidden="1" x14ac:dyDescent="0.25">
      <c r="P49" s="2"/>
      <c r="Q49" s="2"/>
      <c r="R49" s="27">
        <f>R39-R48</f>
        <v>0</v>
      </c>
      <c r="S49" s="27">
        <f>S43-S48</f>
        <v>0</v>
      </c>
    </row>
    <row r="50" spans="16:67" hidden="1" x14ac:dyDescent="0.25">
      <c r="P50" s="2"/>
      <c r="Q50" s="2"/>
      <c r="R50" s="27">
        <f>R49+R41</f>
        <v>0</v>
      </c>
      <c r="S50" s="27">
        <f>S49+S41</f>
        <v>0</v>
      </c>
    </row>
    <row r="51" spans="16:67" x14ac:dyDescent="0.25">
      <c r="P51" s="2"/>
      <c r="Q51" s="2"/>
    </row>
    <row r="52" spans="16:67" x14ac:dyDescent="0.25">
      <c r="P52" s="45" t="s">
        <v>526</v>
      </c>
      <c r="Q52" s="2"/>
      <c r="R52" s="82">
        <f>IF(V9=0,BG22,IF(V9&gt;0,SUM(R53:R62),0))</f>
        <v>0</v>
      </c>
      <c r="S52" s="82">
        <f>SUM(S53:S62)</f>
        <v>0</v>
      </c>
      <c r="T52" s="82">
        <f>SUM(R52:S52)</f>
        <v>0</v>
      </c>
      <c r="BL52" s="274">
        <f>R6</f>
        <v>0</v>
      </c>
      <c r="BM52" s="274">
        <f>S6</f>
        <v>0</v>
      </c>
      <c r="BN52" s="274">
        <f>BL52</f>
        <v>0</v>
      </c>
      <c r="BO52" s="274">
        <f>BM52</f>
        <v>0</v>
      </c>
    </row>
    <row r="53" spans="16:67" hidden="1" x14ac:dyDescent="0.25">
      <c r="P53" s="2"/>
      <c r="Q53" s="2"/>
      <c r="R53" s="19">
        <f>IF(AND(BK24&lt;&gt;0,R22&gt;0,S22=0,BH22&gt;0,BH22&lt;R34),BH22,IF(AND(R22&gt;0,S22=0,BK27&lt;&gt;0,BH22&gt;0,BH22&gt;R34),R34,0))</f>
        <v>0</v>
      </c>
      <c r="S53" s="19">
        <f>IF(AND(BK27&lt;&gt;0,R22=0,S22&gt;0,BI22&gt;0,BI22&lt;S34),BI22,IF(AND(BK27&lt;&gt;0,R22=0,S22&gt;0,BI22&gt;0,BI22&gt;S34),S34,0))</f>
        <v>0</v>
      </c>
      <c r="T53" s="19">
        <f>SUM(R53:S53)</f>
        <v>0</v>
      </c>
      <c r="W53" s="2"/>
      <c r="X53" s="2"/>
      <c r="Y53" s="2"/>
      <c r="Z53" s="2"/>
      <c r="AL53" s="2"/>
      <c r="AM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7">
        <f>R53+S53</f>
        <v>0</v>
      </c>
      <c r="BH53" s="2" t="s">
        <v>317</v>
      </c>
      <c r="BL53" s="20"/>
      <c r="BM53" s="308"/>
      <c r="BN53" s="307"/>
      <c r="BO53" s="20"/>
    </row>
    <row r="54" spans="16:67" hidden="1" x14ac:dyDescent="0.25">
      <c r="P54" s="2"/>
      <c r="Q54" s="2"/>
      <c r="R54" s="19">
        <f>IF(AND(BK24&lt;&gt;0,R22&gt;0,S22=0,BH22&gt;0,BH22&lt;R34),BH22,IF(AND(BK24&lt;&gt;0,R22&gt;0,S22=0,BH22&gt;0,BH22&gt;R34),R34,0))</f>
        <v>0</v>
      </c>
      <c r="S54" s="19">
        <f>IF(AND(BK24&lt;&gt;0,R22=0,S22&gt;0,BI22&gt;0,BI22&lt;S34),BI22,IF(AND(BK24&lt;&gt;0,R22=0,S22&gt;0,BI22&gt;0,BI22&gt;S34),S34,0))</f>
        <v>0</v>
      </c>
      <c r="T54" s="19">
        <f t="shared" ref="T54:T62" si="36">SUM(R54:S54)</f>
        <v>0</v>
      </c>
      <c r="W54" s="2"/>
      <c r="X54" s="2"/>
      <c r="Y54" s="2"/>
      <c r="Z54" s="2"/>
      <c r="AL54" s="2"/>
      <c r="AM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7">
        <f>R54+S54</f>
        <v>0</v>
      </c>
      <c r="BH54" s="2" t="s">
        <v>307</v>
      </c>
      <c r="BL54" s="20"/>
      <c r="BM54" s="308"/>
      <c r="BN54" s="307"/>
      <c r="BO54" s="20"/>
    </row>
    <row r="55" spans="16:67" hidden="1" x14ac:dyDescent="0.25">
      <c r="P55" s="2"/>
      <c r="Q55" s="2"/>
      <c r="R55" s="19">
        <f>IF(AND(BK55&lt;&gt;0,R22&gt;0,S22&gt;0,BH22&gt;R43,BI22=0),R43,0)</f>
        <v>0</v>
      </c>
      <c r="S55" s="19">
        <f>IF(AND(BK55&lt;&gt;0,R22&gt;0,S22&gt;0,BH22&gt;R43,BI22=0),BH22-R55,0)</f>
        <v>0</v>
      </c>
      <c r="T55" s="19">
        <f t="shared" si="36"/>
        <v>0</v>
      </c>
      <c r="W55" s="2"/>
      <c r="X55" s="20"/>
      <c r="Y55" s="19"/>
      <c r="Z55" s="2"/>
      <c r="AL55" s="2"/>
      <c r="AM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7">
        <f>R55+S55</f>
        <v>0</v>
      </c>
      <c r="BH55" s="2" t="s">
        <v>311</v>
      </c>
      <c r="BK55">
        <f>$BK$25</f>
        <v>0</v>
      </c>
      <c r="BL55" s="19"/>
      <c r="BM55" s="309"/>
      <c r="BN55" s="310"/>
      <c r="BO55" s="19">
        <f>IF(T55&lt;&gt;0,S55,0)</f>
        <v>0</v>
      </c>
    </row>
    <row r="56" spans="16:67" hidden="1" x14ac:dyDescent="0.25">
      <c r="P56" s="2"/>
      <c r="Q56" s="2"/>
      <c r="R56" s="19">
        <f>IF(AND(BK56&lt;&gt;0,R22&gt;0,S22&gt;0,BH22=0,BI22&gt;S43),BI22-S56,0)</f>
        <v>0</v>
      </c>
      <c r="S56" s="19">
        <f>IF(AND(BK56&lt;&gt;0,R22&gt;0,S22&gt;0,BH22=0,BI22&gt;S43),S43,0)</f>
        <v>0</v>
      </c>
      <c r="T56" s="19">
        <f t="shared" si="36"/>
        <v>0</v>
      </c>
      <c r="W56" s="2"/>
      <c r="X56" s="275">
        <f>R56</f>
        <v>0</v>
      </c>
      <c r="Y56" s="2"/>
      <c r="Z56" s="2"/>
      <c r="AL56" s="2"/>
      <c r="AM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7">
        <f>R56+S56</f>
        <v>0</v>
      </c>
      <c r="BH56" s="2" t="s">
        <v>312</v>
      </c>
      <c r="BK56">
        <f t="shared" ref="BK56:BK63" si="37">$BK$25</f>
        <v>0</v>
      </c>
      <c r="BL56" s="19"/>
      <c r="BM56" s="309"/>
      <c r="BN56" s="310">
        <f>IF(T56&lt;&gt;0,R56,0)</f>
        <v>0</v>
      </c>
      <c r="BO56" s="19"/>
    </row>
    <row r="57" spans="16:67" hidden="1" x14ac:dyDescent="0.25">
      <c r="P57" s="2"/>
      <c r="Q57" s="2"/>
      <c r="R57" s="19">
        <f>IF(AND(BK57&lt;&gt;0,R22&gt;0,S22&gt;0,BH22&gt;0,BH22&lt;R43,BI22=0),BH22,0)</f>
        <v>0</v>
      </c>
      <c r="S57" s="219"/>
      <c r="T57" s="19">
        <f t="shared" si="36"/>
        <v>0</v>
      </c>
      <c r="W57" s="2"/>
      <c r="X57" s="2"/>
      <c r="Y57" s="2"/>
      <c r="Z57" s="2"/>
      <c r="AL57" s="2"/>
      <c r="AM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7">
        <f t="shared" ref="BG57:BG63" si="38">R57+S57</f>
        <v>0</v>
      </c>
      <c r="BH57" s="2" t="s">
        <v>313</v>
      </c>
      <c r="BK57">
        <f t="shared" si="37"/>
        <v>0</v>
      </c>
      <c r="BL57" s="19">
        <f>IF(T57&lt;&gt;0,R57,0)</f>
        <v>0</v>
      </c>
      <c r="BM57" s="309"/>
      <c r="BN57" s="310"/>
      <c r="BO57" s="19"/>
    </row>
    <row r="58" spans="16:67" hidden="1" x14ac:dyDescent="0.25">
      <c r="P58" s="2"/>
      <c r="Q58" s="2"/>
      <c r="R58" s="219"/>
      <c r="S58" s="19">
        <f>IF(AND(BK58&lt;&gt;0,R22&gt;0,S22&gt;0,BH22=0,BI22&gt;0,BI22&lt;S43),BI22,0)</f>
        <v>0</v>
      </c>
      <c r="T58" s="19">
        <f t="shared" si="36"/>
        <v>0</v>
      </c>
      <c r="W58" s="2"/>
      <c r="X58" s="2"/>
      <c r="Y58" s="2"/>
      <c r="Z58" s="2"/>
      <c r="AL58" s="2"/>
      <c r="AM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7">
        <f t="shared" si="38"/>
        <v>0</v>
      </c>
      <c r="BH58" s="2" t="s">
        <v>314</v>
      </c>
      <c r="BK58">
        <f t="shared" si="37"/>
        <v>0</v>
      </c>
      <c r="BL58" s="19"/>
      <c r="BM58" s="309">
        <f>IF(T58&lt;&gt;0,S58,0)</f>
        <v>0</v>
      </c>
      <c r="BN58" s="310"/>
      <c r="BO58" s="19"/>
    </row>
    <row r="59" spans="16:67" hidden="1" x14ac:dyDescent="0.25">
      <c r="P59" s="2"/>
      <c r="Q59" s="2"/>
      <c r="R59" s="19">
        <f>IF(AND(BK59&lt;&gt;0,R22&gt;0,S22&gt;0,BH22&gt;0,BH22&lt;R43,BI22&gt;0,BI22&lt;S43),BH22,0)</f>
        <v>0</v>
      </c>
      <c r="S59" s="19">
        <f>IF(AND(BK59&lt;&gt;0,R22&gt;0,S22&gt;0,BH22&gt;0,BH22&lt;R43,BI22&gt;0,BI22&lt;S43),BI22,0)</f>
        <v>0</v>
      </c>
      <c r="T59" s="19">
        <f t="shared" si="36"/>
        <v>0</v>
      </c>
      <c r="W59" s="2"/>
      <c r="X59" s="2"/>
      <c r="Y59" s="2"/>
      <c r="Z59" s="2"/>
      <c r="AL59" s="2"/>
      <c r="AM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7">
        <f t="shared" si="38"/>
        <v>0</v>
      </c>
      <c r="BH59" s="2" t="s">
        <v>315</v>
      </c>
      <c r="BK59">
        <f t="shared" si="37"/>
        <v>0</v>
      </c>
      <c r="BL59" s="19">
        <f>IF($T$59&lt;&gt;0,R59,0)</f>
        <v>0</v>
      </c>
      <c r="BM59" s="309">
        <f>IF($T$59&lt;&gt;0,S59,0)</f>
        <v>0</v>
      </c>
      <c r="BN59" s="310"/>
      <c r="BO59" s="19"/>
    </row>
    <row r="60" spans="16:67" hidden="1" x14ac:dyDescent="0.25">
      <c r="P60" s="2"/>
      <c r="Q60" s="2"/>
      <c r="R60" s="19">
        <f>IF(AND(BK60&lt;&gt;0,R22&gt;0,S22&gt;0,BH22&gt;R43,BI22&gt;0,BI22&lt;S43),R43,0)</f>
        <v>0</v>
      </c>
      <c r="S60" s="19">
        <f>IF(AND(BK60&lt;&gt;0,R22&gt;0,S22&gt;0,BH22&gt;0,BH22&gt;R43,BI22&gt;0,BI22&lt;S43),BH22-R43+BI22,0)</f>
        <v>0</v>
      </c>
      <c r="T60" s="19">
        <f t="shared" si="36"/>
        <v>0</v>
      </c>
      <c r="W60" s="2"/>
      <c r="X60" s="2"/>
      <c r="Y60" s="2"/>
      <c r="Z60" s="2"/>
      <c r="AL60" s="2"/>
      <c r="AM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7">
        <f t="shared" si="38"/>
        <v>0</v>
      </c>
      <c r="BH60" s="2" t="s">
        <v>318</v>
      </c>
      <c r="BK60">
        <f t="shared" si="37"/>
        <v>0</v>
      </c>
      <c r="BL60" s="19"/>
      <c r="BM60" s="309">
        <f>IF(T60&lt;&gt;0,BI22,0)</f>
        <v>0</v>
      </c>
      <c r="BN60" s="310"/>
      <c r="BO60" s="19">
        <f>IF(T60&lt;&gt;0,S60-BM60,0)</f>
        <v>0</v>
      </c>
    </row>
    <row r="61" spans="16:67" hidden="1" x14ac:dyDescent="0.25">
      <c r="P61" s="2"/>
      <c r="Q61" s="2"/>
      <c r="R61" s="19">
        <f>IF(AND(BK61&lt;&gt;0,R22&gt;0,S22&gt;0,BH22&gt;0,BH22&lt;R43,BI22&gt;0,BI22&gt;S43),BI22-S43+BH22,0)</f>
        <v>0</v>
      </c>
      <c r="S61" s="19">
        <f>IF(AND(BK61&lt;&gt;0,R22&gt;0,S22&gt;0,BH22&gt;0,BH22&lt;R43,BI22&gt;0,BI22&gt;S43),S43,0)</f>
        <v>0</v>
      </c>
      <c r="T61" s="19">
        <f t="shared" si="36"/>
        <v>0</v>
      </c>
      <c r="W61" s="2"/>
      <c r="X61" s="2"/>
      <c r="Y61" s="2"/>
      <c r="Z61" s="2"/>
      <c r="AL61" s="2"/>
      <c r="AM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7">
        <f t="shared" si="38"/>
        <v>0</v>
      </c>
      <c r="BH61" s="2" t="s">
        <v>319</v>
      </c>
      <c r="BK61">
        <f t="shared" si="37"/>
        <v>0</v>
      </c>
      <c r="BL61" s="19">
        <f>IF(T61&lt;&gt;0,BH22,0)</f>
        <v>0</v>
      </c>
      <c r="BM61" s="309"/>
      <c r="BN61" s="310">
        <f>IF(T61&lt;&gt;0,R61-BL61,0)</f>
        <v>0</v>
      </c>
      <c r="BO61" s="19"/>
    </row>
    <row r="62" spans="16:67" hidden="1" x14ac:dyDescent="0.25">
      <c r="P62" s="2"/>
      <c r="Q62" s="2"/>
      <c r="R62" s="19">
        <f>IF(AND(BK62&lt;&gt;0,R22&gt;0,S22&gt;0,BH22&gt;R43,BI22&gt;S43),R43,0)</f>
        <v>0</v>
      </c>
      <c r="S62" s="19">
        <f>IF(AND(BK62&lt;&gt;0,R22&gt;0,S22&gt;0,BH22&gt;R43,BI22&gt;S43),S43,0)</f>
        <v>0</v>
      </c>
      <c r="T62" s="19">
        <f t="shared" si="36"/>
        <v>0</v>
      </c>
      <c r="W62" s="2"/>
      <c r="X62" s="2"/>
      <c r="Y62" s="2"/>
      <c r="Z62" s="2"/>
      <c r="AL62" s="2"/>
      <c r="AM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7">
        <f t="shared" si="38"/>
        <v>0</v>
      </c>
      <c r="BH62" s="2" t="s">
        <v>527</v>
      </c>
      <c r="BK62">
        <f t="shared" si="37"/>
        <v>0</v>
      </c>
      <c r="BL62" s="19"/>
      <c r="BM62" s="309"/>
      <c r="BN62" s="310"/>
      <c r="BO62" s="19"/>
    </row>
    <row r="63" spans="16:67" ht="4.5" customHeight="1" x14ac:dyDescent="0.25">
      <c r="W63" s="2"/>
      <c r="X63" s="2"/>
      <c r="Y63" s="2"/>
      <c r="Z63" s="2"/>
      <c r="AL63" s="2"/>
      <c r="AM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75">
        <f t="shared" si="38"/>
        <v>0</v>
      </c>
      <c r="BH63" s="2"/>
      <c r="BK63" s="273">
        <f t="shared" si="37"/>
        <v>0</v>
      </c>
      <c r="BL63" s="19">
        <f>IF($T$62&lt;&gt;0,BH22,0)</f>
        <v>0</v>
      </c>
      <c r="BM63" s="309">
        <f>IF($T$62&lt;&gt;0,BI22,0)</f>
        <v>0</v>
      </c>
      <c r="BN63" s="310"/>
      <c r="BO63" s="19"/>
    </row>
    <row r="64" spans="16:67" x14ac:dyDescent="0.25">
      <c r="P64" s="276">
        <f>IF(OR(BL64&gt;0,BM64&gt;0),BL44,0)</f>
        <v>0</v>
      </c>
      <c r="Q64" s="276"/>
      <c r="R64" s="96">
        <f>IF(BL64&gt;0,BL64,0)</f>
        <v>0</v>
      </c>
      <c r="S64" s="96">
        <f>IF(BM64&gt;0,BM64,0)</f>
        <v>0</v>
      </c>
      <c r="T64" s="2"/>
      <c r="W64" s="2"/>
      <c r="X64" s="2"/>
      <c r="Y64" s="2"/>
      <c r="Z64" s="2"/>
      <c r="AL64" s="2"/>
      <c r="AM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L64" s="275">
        <f>SUM(BL53:BL63)</f>
        <v>0</v>
      </c>
      <c r="BM64" s="275">
        <f t="shared" ref="BM64:BO64" si="39">SUM(BM53:BM63)</f>
        <v>0</v>
      </c>
      <c r="BN64" s="275">
        <f t="shared" si="39"/>
        <v>0</v>
      </c>
      <c r="BO64" s="275">
        <f t="shared" si="39"/>
        <v>0</v>
      </c>
    </row>
    <row r="65" spans="16:67" x14ac:dyDescent="0.25">
      <c r="P65" s="276">
        <f>IF(OR(BN64&gt;0,BO64&gt;0),CONCATENATE(BN44," Lebenspartner/in"),0)</f>
        <v>0</v>
      </c>
      <c r="Q65" s="276"/>
      <c r="R65" s="96">
        <f>IF(BN64&gt;0,BN64,0)</f>
        <v>0</v>
      </c>
      <c r="S65" s="96">
        <f>IF(BO64&gt;0,BO64,0)</f>
        <v>0</v>
      </c>
      <c r="T65" s="2"/>
      <c r="W65" s="2"/>
      <c r="X65" s="2"/>
      <c r="Y65" s="2"/>
      <c r="Z65" s="2"/>
      <c r="AL65" s="2"/>
      <c r="AM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L65" s="349">
        <f>SUM(BL53:BM63)</f>
        <v>0</v>
      </c>
      <c r="BM65" s="350"/>
      <c r="BN65" s="351">
        <f>SUM(BN53:BO63)</f>
        <v>0</v>
      </c>
      <c r="BO65" s="352"/>
    </row>
    <row r="66" spans="16:67" ht="6" customHeight="1" x14ac:dyDescent="0.25"/>
    <row r="67" spans="16:67" x14ac:dyDescent="0.25">
      <c r="P67" s="45" t="s">
        <v>324</v>
      </c>
      <c r="Q67" s="2"/>
      <c r="R67" s="77">
        <f>R43-R52</f>
        <v>0</v>
      </c>
      <c r="S67" s="77">
        <f>S43-S52</f>
        <v>0</v>
      </c>
    </row>
    <row r="69" spans="16:67" hidden="1" x14ac:dyDescent="0.25">
      <c r="R69" s="43">
        <f>IF(BC7=1,R52,0)</f>
        <v>0</v>
      </c>
      <c r="S69" s="43">
        <f>IF(BD7=1,S52,0)</f>
        <v>0</v>
      </c>
      <c r="T69">
        <f>SUM(R69:S69)</f>
        <v>0</v>
      </c>
    </row>
  </sheetData>
  <sheetProtection password="F801" sheet="1" objects="1" scenarios="1" selectLockedCells="1"/>
  <mergeCells count="4">
    <mergeCell ref="BL65:BM65"/>
    <mergeCell ref="BN65:BO65"/>
    <mergeCell ref="R4:S4"/>
    <mergeCell ref="R5:S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workbookViewId="0">
      <selection activeCell="B1" sqref="B1:AG1048576"/>
    </sheetView>
  </sheetViews>
  <sheetFormatPr baseColWidth="10" defaultRowHeight="13.8" x14ac:dyDescent="0.25"/>
  <cols>
    <col min="1" max="1" width="3.09765625" customWidth="1"/>
    <col min="2" max="2" width="3.3984375" hidden="1" customWidth="1"/>
    <col min="3" max="5" width="11" hidden="1" customWidth="1"/>
    <col min="6" max="7" width="7.59765625" hidden="1" customWidth="1"/>
    <col min="8" max="9" width="2.3984375" hidden="1" customWidth="1"/>
    <col min="10" max="10" width="2.69921875" hidden="1" customWidth="1"/>
    <col min="11" max="11" width="13.3984375" hidden="1" customWidth="1"/>
    <col min="12" max="12" width="6" hidden="1" customWidth="1"/>
    <col min="13" max="13" width="5" hidden="1" customWidth="1"/>
    <col min="14" max="15" width="6.5" hidden="1" customWidth="1"/>
    <col min="16" max="16" width="5.09765625" hidden="1" customWidth="1"/>
    <col min="17" max="18" width="7.3984375" hidden="1" customWidth="1"/>
    <col min="19" max="19" width="4.09765625" hidden="1" customWidth="1"/>
    <col min="20" max="20" width="6.69921875" hidden="1" customWidth="1"/>
    <col min="21" max="21" width="6.09765625" hidden="1" customWidth="1"/>
    <col min="22" max="22" width="4.59765625" hidden="1" customWidth="1"/>
    <col min="23" max="23" width="5" hidden="1" customWidth="1"/>
    <col min="24" max="25" width="6" hidden="1" customWidth="1"/>
    <col min="26" max="26" width="6.09765625" hidden="1" customWidth="1"/>
    <col min="27" max="27" width="6.8984375" hidden="1" customWidth="1"/>
    <col min="28" max="33" width="11" hidden="1" customWidth="1"/>
    <col min="34" max="35" width="11" customWidth="1"/>
  </cols>
  <sheetData>
    <row r="1" spans="2:30" x14ac:dyDescent="0.25">
      <c r="AC1" t="s">
        <v>105</v>
      </c>
    </row>
    <row r="2" spans="2:30" x14ac:dyDescent="0.25">
      <c r="C2" s="6" t="s">
        <v>0</v>
      </c>
      <c r="D2" s="7"/>
      <c r="E2" s="7"/>
      <c r="F2" s="16">
        <f ca="1">TODAY()</f>
        <v>43301</v>
      </c>
      <c r="G2" s="8" t="s">
        <v>2</v>
      </c>
      <c r="L2" t="s">
        <v>61</v>
      </c>
      <c r="AC2" t="s">
        <v>245</v>
      </c>
    </row>
    <row r="3" spans="2:30" x14ac:dyDescent="0.25">
      <c r="C3" s="9" t="s">
        <v>1</v>
      </c>
      <c r="D3" s="10"/>
      <c r="E3" s="10"/>
      <c r="F3" s="17">
        <f>Erfassung!P4</f>
        <v>0</v>
      </c>
      <c r="G3" s="11" t="s">
        <v>3</v>
      </c>
    </row>
    <row r="4" spans="2:30" x14ac:dyDescent="0.25">
      <c r="C4" s="9" t="s">
        <v>570</v>
      </c>
      <c r="D4" s="10"/>
      <c r="E4" s="10"/>
      <c r="F4" s="4">
        <v>60</v>
      </c>
      <c r="G4" s="11" t="s">
        <v>4</v>
      </c>
      <c r="L4" t="s">
        <v>617</v>
      </c>
      <c r="O4">
        <f>F4</f>
        <v>60</v>
      </c>
      <c r="P4" t="s">
        <v>618</v>
      </c>
      <c r="Q4" s="43" t="s">
        <v>619</v>
      </c>
      <c r="T4" t="str">
        <f>CONCATENATE(L4,Q4,O4,Q4,P4)</f>
        <v>Maximale Differenz 60 Tage</v>
      </c>
    </row>
    <row r="5" spans="2:30" x14ac:dyDescent="0.25">
      <c r="C5" s="9" t="s">
        <v>5</v>
      </c>
      <c r="D5" s="10"/>
      <c r="E5" s="10"/>
      <c r="F5" s="10">
        <f ca="1">F2-F3</f>
        <v>43301</v>
      </c>
      <c r="G5" s="11" t="s">
        <v>6</v>
      </c>
    </row>
    <row r="6" spans="2:30" x14ac:dyDescent="0.25">
      <c r="C6" s="9" t="s">
        <v>10</v>
      </c>
      <c r="D6" s="10"/>
      <c r="E6" s="10"/>
      <c r="F6" s="10">
        <f ca="1">IF(F5&lt;=F4,1,0)</f>
        <v>0</v>
      </c>
      <c r="G6" s="11" t="s">
        <v>7</v>
      </c>
      <c r="T6" s="2" t="s">
        <v>41</v>
      </c>
      <c r="AC6" t="s">
        <v>604</v>
      </c>
    </row>
    <row r="7" spans="2:30" x14ac:dyDescent="0.25">
      <c r="C7" s="9" t="s">
        <v>8</v>
      </c>
      <c r="D7" s="10"/>
      <c r="E7" s="10"/>
      <c r="F7" s="334">
        <v>43496</v>
      </c>
      <c r="G7" s="11" t="s">
        <v>9</v>
      </c>
      <c r="L7" s="2" t="s">
        <v>42</v>
      </c>
      <c r="N7" s="26" t="s">
        <v>56</v>
      </c>
      <c r="O7" s="26" t="s">
        <v>57</v>
      </c>
      <c r="Q7" s="2" t="s">
        <v>40</v>
      </c>
      <c r="T7" s="18">
        <v>8</v>
      </c>
      <c r="Z7" s="26" t="s">
        <v>56</v>
      </c>
      <c r="AA7" s="26" t="s">
        <v>57</v>
      </c>
      <c r="AC7" s="274" t="str">
        <f>Erfassung!Z40</f>
        <v>Summe kAV</v>
      </c>
      <c r="AD7" s="274">
        <f ca="1">Erfassung!AA40</f>
        <v>0</v>
      </c>
    </row>
    <row r="8" spans="2:30" ht="14.4" thickBot="1" x14ac:dyDescent="0.3">
      <c r="C8" s="9" t="s">
        <v>12</v>
      </c>
      <c r="D8" s="10"/>
      <c r="E8" s="10"/>
      <c r="F8" s="10">
        <f ca="1">IF(F2&lt;=F7,1,0)</f>
        <v>1</v>
      </c>
      <c r="G8" s="11" t="s">
        <v>13</v>
      </c>
      <c r="K8" s="2">
        <v>1</v>
      </c>
      <c r="L8" s="18">
        <v>589</v>
      </c>
      <c r="M8" s="19">
        <f t="shared" ref="M8:M19" si="0">ROUND(L8/K8*20,0)/20</f>
        <v>589</v>
      </c>
      <c r="N8" s="19">
        <f t="shared" ref="N8:N11" si="1">IF(AND($M$21=K8,$M$22&gt;0),L8,0)</f>
        <v>0</v>
      </c>
      <c r="O8" s="19">
        <f>IF(AND($M$21=$M$22,$M$22=K8),L8,IF(AND($M$21&lt;&gt;$M$22,N8&gt;0),$M$22*M8,0))</f>
        <v>0</v>
      </c>
      <c r="Q8" s="18">
        <v>412</v>
      </c>
      <c r="R8" s="19">
        <f>IF($Q$22=K8,Q8,0)</f>
        <v>0</v>
      </c>
      <c r="T8" s="19">
        <f>T7*I23</f>
        <v>248</v>
      </c>
      <c r="U8" s="19">
        <f>IF($T$22=K8,T8,0)</f>
        <v>0</v>
      </c>
      <c r="X8" s="18">
        <v>986</v>
      </c>
      <c r="Y8" s="19">
        <f t="shared" ref="Y8:Y19" si="2">ROUND(X8/K8*20,0)/20</f>
        <v>986</v>
      </c>
      <c r="Z8" s="19">
        <f>IF(AND($Y$22&gt;0,$Y$21=K8),X8,0)</f>
        <v>0</v>
      </c>
      <c r="AA8" s="19">
        <f>IF(AND($Y$21=$Y$22,$Y$22=K8),X8,IF(AND($Y$21&lt;&gt;$Y$22,Z8&gt;0),$Y$22*Y8,0))</f>
        <v>0</v>
      </c>
      <c r="AC8" s="274" t="str">
        <f>Erfassung!Z41</f>
        <v>Summe SHV</v>
      </c>
      <c r="AD8" s="274">
        <f>Erfassung!AA41</f>
        <v>0</v>
      </c>
    </row>
    <row r="9" spans="2:30" x14ac:dyDescent="0.25">
      <c r="C9" s="12" t="s">
        <v>11</v>
      </c>
      <c r="D9" s="13"/>
      <c r="E9" s="13"/>
      <c r="F9" s="14">
        <f ca="1">IF(AND(F6=1,F8=1),1,0)</f>
        <v>0</v>
      </c>
      <c r="G9" s="15" t="s">
        <v>14</v>
      </c>
      <c r="K9" s="2">
        <v>2</v>
      </c>
      <c r="L9" s="18">
        <v>961</v>
      </c>
      <c r="M9" s="19">
        <f t="shared" si="0"/>
        <v>480.5</v>
      </c>
      <c r="N9" s="19">
        <f t="shared" si="1"/>
        <v>0</v>
      </c>
      <c r="O9" s="19">
        <f t="shared" ref="O9:O19" si="3">IF(AND($M$21=$M$22,$M$22=K9),L9,IF(AND($M$21&lt;&gt;$M$22,N9&gt;0),$M$22*M9,0))</f>
        <v>0</v>
      </c>
      <c r="Q9" s="19">
        <f t="shared" ref="Q9:Q12" si="4">K9*$Q$8</f>
        <v>824</v>
      </c>
      <c r="R9" s="19">
        <f t="shared" ref="R9:R19" si="5">IF($Q$22=K9,Q9,0)</f>
        <v>0</v>
      </c>
      <c r="T9" s="19">
        <f t="shared" ref="T9:T19" si="6">K9*$I$23*$T$7</f>
        <v>496</v>
      </c>
      <c r="U9" s="19">
        <f t="shared" ref="U9:U19" si="7">IF($T$22=K9,T9,0)</f>
        <v>0</v>
      </c>
      <c r="X9" s="18">
        <v>1509</v>
      </c>
      <c r="Y9" s="19">
        <f t="shared" si="2"/>
        <v>754.5</v>
      </c>
      <c r="Z9" s="19">
        <f t="shared" ref="Z9:Z19" si="8">IF(AND($Y$22&gt;0,$Y$21=K9),X9,0)</f>
        <v>0</v>
      </c>
      <c r="AA9" s="19">
        <f t="shared" ref="AA9:AA19" si="9">IF(AND($Y$21=$Y$22,$Y$22=K9),X9,IF(AND($Y$21&lt;&gt;$Y$22,Z9&gt;0),$Y$22*Y9,0))</f>
        <v>0</v>
      </c>
      <c r="AC9" s="274" t="str">
        <f>Erfassung!Z42</f>
        <v>Summe U</v>
      </c>
      <c r="AD9" s="274">
        <f>Erfassung!AA42</f>
        <v>0</v>
      </c>
    </row>
    <row r="10" spans="2:30" x14ac:dyDescent="0.25">
      <c r="K10" s="2">
        <v>3</v>
      </c>
      <c r="L10" s="18">
        <v>1364</v>
      </c>
      <c r="M10" s="19">
        <f t="shared" si="0"/>
        <v>454.65</v>
      </c>
      <c r="N10" s="19">
        <f t="shared" si="1"/>
        <v>0</v>
      </c>
      <c r="O10" s="19">
        <f t="shared" si="3"/>
        <v>0</v>
      </c>
      <c r="Q10" s="19">
        <f t="shared" si="4"/>
        <v>1236</v>
      </c>
      <c r="R10" s="19">
        <f t="shared" si="5"/>
        <v>0</v>
      </c>
      <c r="T10" s="19">
        <f t="shared" si="6"/>
        <v>744</v>
      </c>
      <c r="U10" s="19">
        <f t="shared" si="7"/>
        <v>0</v>
      </c>
      <c r="X10" s="18">
        <v>1834</v>
      </c>
      <c r="Y10" s="19">
        <f t="shared" si="2"/>
        <v>611.35</v>
      </c>
      <c r="Z10" s="19">
        <f t="shared" si="8"/>
        <v>0</v>
      </c>
      <c r="AA10" s="19">
        <f t="shared" si="9"/>
        <v>0</v>
      </c>
    </row>
    <row r="11" spans="2:30" x14ac:dyDescent="0.25">
      <c r="C11" s="37" t="s">
        <v>247</v>
      </c>
      <c r="D11" s="2" t="s">
        <v>248</v>
      </c>
      <c r="E11" s="2" t="s">
        <v>249</v>
      </c>
      <c r="F11" s="5">
        <v>43101</v>
      </c>
      <c r="G11" s="3">
        <f>EDATE(F11,1)</f>
        <v>43132</v>
      </c>
      <c r="H11" s="20">
        <f>G11-F11</f>
        <v>31</v>
      </c>
      <c r="I11" s="20">
        <f>IF(MONTH($F$3)=MONTH(F11),H11,0)</f>
        <v>31</v>
      </c>
      <c r="K11" s="2">
        <v>4</v>
      </c>
      <c r="L11" s="18">
        <v>1733</v>
      </c>
      <c r="M11" s="19">
        <f t="shared" si="0"/>
        <v>433.25</v>
      </c>
      <c r="N11" s="19">
        <f t="shared" si="1"/>
        <v>0</v>
      </c>
      <c r="O11" s="19">
        <f t="shared" si="3"/>
        <v>0</v>
      </c>
      <c r="Q11" s="19">
        <f t="shared" si="4"/>
        <v>1648</v>
      </c>
      <c r="R11" s="19">
        <f t="shared" si="5"/>
        <v>0</v>
      </c>
      <c r="T11" s="19">
        <f t="shared" si="6"/>
        <v>992</v>
      </c>
      <c r="U11" s="19">
        <f t="shared" si="7"/>
        <v>0</v>
      </c>
      <c r="X11" s="18">
        <v>2110</v>
      </c>
      <c r="Y11" s="19">
        <f t="shared" si="2"/>
        <v>527.5</v>
      </c>
      <c r="Z11" s="19">
        <f t="shared" si="8"/>
        <v>0</v>
      </c>
      <c r="AA11" s="19">
        <f t="shared" si="9"/>
        <v>0</v>
      </c>
    </row>
    <row r="12" spans="2:30" x14ac:dyDescent="0.25">
      <c r="B12" s="2">
        <v>1</v>
      </c>
      <c r="C12" s="62">
        <v>522</v>
      </c>
      <c r="D12" s="62">
        <v>486</v>
      </c>
      <c r="E12" s="65">
        <v>125</v>
      </c>
      <c r="F12" s="3">
        <f>G11</f>
        <v>43132</v>
      </c>
      <c r="G12" s="3">
        <f>EDATE(F12,1)</f>
        <v>43160</v>
      </c>
      <c r="H12" s="20">
        <f t="shared" ref="H12:H22" si="10">G12-F12</f>
        <v>28</v>
      </c>
      <c r="I12" s="20">
        <f t="shared" ref="I12:I22" si="11">IF(MONTH($F$3)=MONTH(F12),H12,0)</f>
        <v>0</v>
      </c>
      <c r="K12" s="2">
        <v>5</v>
      </c>
      <c r="L12" s="18">
        <v>2060</v>
      </c>
      <c r="M12" s="19">
        <f t="shared" si="0"/>
        <v>412</v>
      </c>
      <c r="N12" s="19">
        <f>IF(AND($M$21=K12,$M$22&gt;0),L12,0)</f>
        <v>0</v>
      </c>
      <c r="O12" s="19">
        <f t="shared" si="3"/>
        <v>0</v>
      </c>
      <c r="Q12" s="19">
        <f t="shared" si="4"/>
        <v>2060</v>
      </c>
      <c r="R12" s="19">
        <f t="shared" si="5"/>
        <v>0</v>
      </c>
      <c r="T12" s="19">
        <f t="shared" si="6"/>
        <v>1240</v>
      </c>
      <c r="U12" s="19">
        <f t="shared" si="7"/>
        <v>0</v>
      </c>
      <c r="X12" s="18">
        <v>2386</v>
      </c>
      <c r="Y12" s="19">
        <f t="shared" si="2"/>
        <v>477.2</v>
      </c>
      <c r="Z12" s="19">
        <f t="shared" si="8"/>
        <v>0</v>
      </c>
      <c r="AA12" s="19">
        <f t="shared" si="9"/>
        <v>0</v>
      </c>
    </row>
    <row r="13" spans="2:30" x14ac:dyDescent="0.25">
      <c r="B13" s="2">
        <v>2</v>
      </c>
      <c r="C13" s="62">
        <v>484</v>
      </c>
      <c r="D13" s="62">
        <v>450</v>
      </c>
      <c r="E13" s="65">
        <v>115</v>
      </c>
      <c r="F13" s="3">
        <f t="shared" ref="F13:F22" si="12">G12</f>
        <v>43160</v>
      </c>
      <c r="G13" s="3">
        <f t="shared" ref="G13:G22" si="13">EDATE(F13,1)</f>
        <v>43191</v>
      </c>
      <c r="H13" s="20">
        <f t="shared" si="10"/>
        <v>31</v>
      </c>
      <c r="I13" s="20">
        <f t="shared" si="11"/>
        <v>0</v>
      </c>
      <c r="K13" s="2">
        <v>6</v>
      </c>
      <c r="L13" s="18">
        <v>2322</v>
      </c>
      <c r="M13" s="19">
        <f t="shared" si="0"/>
        <v>387</v>
      </c>
      <c r="N13" s="19">
        <f t="shared" ref="N13:N19" si="14">IF(AND($M$21=K13,$M$22&gt;0),L13,0)</f>
        <v>0</v>
      </c>
      <c r="O13" s="19">
        <f t="shared" si="3"/>
        <v>0</v>
      </c>
      <c r="Q13" s="19">
        <f>L13</f>
        <v>2322</v>
      </c>
      <c r="R13" s="19">
        <f t="shared" si="5"/>
        <v>0</v>
      </c>
      <c r="T13" s="19">
        <f t="shared" si="6"/>
        <v>1488</v>
      </c>
      <c r="U13" s="19">
        <f t="shared" si="7"/>
        <v>0</v>
      </c>
      <c r="X13" s="21">
        <f>X12+$W$15</f>
        <v>2586</v>
      </c>
      <c r="Y13" s="19">
        <f t="shared" si="2"/>
        <v>431</v>
      </c>
      <c r="Z13" s="19">
        <f t="shared" si="8"/>
        <v>0</v>
      </c>
      <c r="AA13" s="19">
        <f t="shared" si="9"/>
        <v>0</v>
      </c>
    </row>
    <row r="14" spans="2:30" x14ac:dyDescent="0.25">
      <c r="B14" s="61" t="s">
        <v>246</v>
      </c>
      <c r="C14" s="63">
        <v>200</v>
      </c>
      <c r="D14" s="67">
        <v>180</v>
      </c>
      <c r="E14" s="66">
        <v>110</v>
      </c>
      <c r="F14" s="3">
        <f t="shared" si="12"/>
        <v>43191</v>
      </c>
      <c r="G14" s="3">
        <f t="shared" si="13"/>
        <v>43221</v>
      </c>
      <c r="H14" s="20">
        <f t="shared" si="10"/>
        <v>30</v>
      </c>
      <c r="I14" s="20">
        <f t="shared" si="11"/>
        <v>0</v>
      </c>
      <c r="K14" s="2">
        <v>7</v>
      </c>
      <c r="L14" s="18">
        <v>2512</v>
      </c>
      <c r="M14" s="19">
        <f t="shared" si="0"/>
        <v>358.85</v>
      </c>
      <c r="N14" s="19">
        <f t="shared" si="14"/>
        <v>0</v>
      </c>
      <c r="O14" s="19">
        <f t="shared" si="3"/>
        <v>0</v>
      </c>
      <c r="Q14" s="19">
        <f t="shared" ref="Q14:Q19" si="15">L14</f>
        <v>2512</v>
      </c>
      <c r="R14" s="19">
        <f t="shared" si="5"/>
        <v>0</v>
      </c>
      <c r="T14" s="19">
        <f t="shared" si="6"/>
        <v>1736</v>
      </c>
      <c r="U14" s="19">
        <f t="shared" si="7"/>
        <v>0</v>
      </c>
      <c r="X14" s="21">
        <f>X13+$W$15</f>
        <v>2786</v>
      </c>
      <c r="Y14" s="19">
        <f t="shared" si="2"/>
        <v>398</v>
      </c>
      <c r="Z14" s="19">
        <f t="shared" si="8"/>
        <v>0</v>
      </c>
      <c r="AA14" s="19">
        <f t="shared" si="9"/>
        <v>0</v>
      </c>
    </row>
    <row r="15" spans="2:30" x14ac:dyDescent="0.25">
      <c r="C15" s="64">
        <v>2018</v>
      </c>
      <c r="F15" s="3">
        <f t="shared" si="12"/>
        <v>43221</v>
      </c>
      <c r="G15" s="3">
        <f t="shared" si="13"/>
        <v>43252</v>
      </c>
      <c r="H15" s="20">
        <f t="shared" si="10"/>
        <v>31</v>
      </c>
      <c r="I15" s="20">
        <f t="shared" si="11"/>
        <v>0</v>
      </c>
      <c r="K15" s="2">
        <v>8</v>
      </c>
      <c r="L15" s="18">
        <v>2676</v>
      </c>
      <c r="M15" s="19">
        <f t="shared" si="0"/>
        <v>334.5</v>
      </c>
      <c r="N15" s="19">
        <f t="shared" si="14"/>
        <v>0</v>
      </c>
      <c r="O15" s="19">
        <f t="shared" si="3"/>
        <v>0</v>
      </c>
      <c r="Q15" s="19">
        <f t="shared" si="15"/>
        <v>2676</v>
      </c>
      <c r="R15" s="19">
        <f t="shared" si="5"/>
        <v>0</v>
      </c>
      <c r="T15" s="19">
        <f t="shared" si="6"/>
        <v>1984</v>
      </c>
      <c r="U15" s="19">
        <f t="shared" si="7"/>
        <v>0</v>
      </c>
      <c r="W15" s="18">
        <v>200</v>
      </c>
      <c r="X15" s="21">
        <f t="shared" ref="X15:X19" si="16">X14+$W$15</f>
        <v>2986</v>
      </c>
      <c r="Y15" s="19">
        <f t="shared" si="2"/>
        <v>373.25</v>
      </c>
      <c r="Z15" s="19">
        <f t="shared" si="8"/>
        <v>0</v>
      </c>
      <c r="AA15" s="19">
        <f t="shared" si="9"/>
        <v>0</v>
      </c>
    </row>
    <row r="16" spans="2:30" x14ac:dyDescent="0.25">
      <c r="F16" s="3">
        <f t="shared" si="12"/>
        <v>43252</v>
      </c>
      <c r="G16" s="3">
        <f t="shared" si="13"/>
        <v>43282</v>
      </c>
      <c r="H16" s="20">
        <f t="shared" si="10"/>
        <v>30</v>
      </c>
      <c r="I16" s="20">
        <f t="shared" si="11"/>
        <v>0</v>
      </c>
      <c r="K16" s="2">
        <v>9</v>
      </c>
      <c r="L16" s="18">
        <v>2846</v>
      </c>
      <c r="M16" s="19">
        <f t="shared" si="0"/>
        <v>316.2</v>
      </c>
      <c r="N16" s="19">
        <f t="shared" si="14"/>
        <v>0</v>
      </c>
      <c r="O16" s="19">
        <f t="shared" si="3"/>
        <v>0</v>
      </c>
      <c r="Q16" s="19">
        <f t="shared" si="15"/>
        <v>2846</v>
      </c>
      <c r="R16" s="19">
        <f t="shared" si="5"/>
        <v>0</v>
      </c>
      <c r="T16" s="19">
        <f t="shared" si="6"/>
        <v>2232</v>
      </c>
      <c r="U16" s="19">
        <f t="shared" si="7"/>
        <v>0</v>
      </c>
      <c r="X16" s="21">
        <f t="shared" si="16"/>
        <v>3186</v>
      </c>
      <c r="Y16" s="19">
        <f t="shared" si="2"/>
        <v>354</v>
      </c>
      <c r="Z16" s="19">
        <f t="shared" si="8"/>
        <v>0</v>
      </c>
      <c r="AA16" s="19">
        <f t="shared" si="9"/>
        <v>0</v>
      </c>
    </row>
    <row r="17" spans="3:32" x14ac:dyDescent="0.25">
      <c r="C17" s="2" t="s">
        <v>295</v>
      </c>
      <c r="D17" s="2"/>
      <c r="F17" s="3">
        <f t="shared" si="12"/>
        <v>43282</v>
      </c>
      <c r="G17" s="3">
        <f t="shared" si="13"/>
        <v>43313</v>
      </c>
      <c r="H17" s="20">
        <f t="shared" si="10"/>
        <v>31</v>
      </c>
      <c r="I17" s="20">
        <f t="shared" si="11"/>
        <v>0</v>
      </c>
      <c r="K17" s="2">
        <v>10</v>
      </c>
      <c r="L17" s="18">
        <v>2949</v>
      </c>
      <c r="M17" s="19">
        <f t="shared" si="0"/>
        <v>294.89999999999998</v>
      </c>
      <c r="N17" s="19">
        <f t="shared" si="14"/>
        <v>0</v>
      </c>
      <c r="O17" s="19">
        <f t="shared" si="3"/>
        <v>0</v>
      </c>
      <c r="Q17" s="19">
        <f t="shared" si="15"/>
        <v>2949</v>
      </c>
      <c r="R17" s="19">
        <f t="shared" si="5"/>
        <v>0</v>
      </c>
      <c r="T17" s="19">
        <f t="shared" si="6"/>
        <v>2480</v>
      </c>
      <c r="U17" s="19">
        <f t="shared" si="7"/>
        <v>0</v>
      </c>
      <c r="X17" s="21">
        <f t="shared" si="16"/>
        <v>3386</v>
      </c>
      <c r="Y17" s="19">
        <f t="shared" si="2"/>
        <v>338.6</v>
      </c>
      <c r="Z17" s="19">
        <f t="shared" si="8"/>
        <v>0</v>
      </c>
      <c r="AA17" s="19">
        <f t="shared" si="9"/>
        <v>0</v>
      </c>
    </row>
    <row r="18" spans="3:32" x14ac:dyDescent="0.25">
      <c r="C18" s="2" t="s">
        <v>103</v>
      </c>
      <c r="D18" s="18">
        <v>400</v>
      </c>
      <c r="E18" s="2" t="s">
        <v>296</v>
      </c>
      <c r="F18" s="3">
        <f t="shared" si="12"/>
        <v>43313</v>
      </c>
      <c r="G18" s="3">
        <f t="shared" si="13"/>
        <v>43344</v>
      </c>
      <c r="H18" s="20">
        <f t="shared" si="10"/>
        <v>31</v>
      </c>
      <c r="I18" s="20">
        <f t="shared" si="11"/>
        <v>0</v>
      </c>
      <c r="K18" s="2">
        <v>11</v>
      </c>
      <c r="L18" s="18">
        <v>3144</v>
      </c>
      <c r="M18" s="19">
        <f t="shared" si="0"/>
        <v>285.8</v>
      </c>
      <c r="N18" s="19">
        <f t="shared" si="14"/>
        <v>0</v>
      </c>
      <c r="O18" s="19">
        <f t="shared" si="3"/>
        <v>0</v>
      </c>
      <c r="Q18" s="19">
        <f t="shared" si="15"/>
        <v>3144</v>
      </c>
      <c r="R18" s="19">
        <f t="shared" si="5"/>
        <v>0</v>
      </c>
      <c r="T18" s="19">
        <f t="shared" si="6"/>
        <v>2728</v>
      </c>
      <c r="U18" s="19">
        <f t="shared" si="7"/>
        <v>0</v>
      </c>
      <c r="X18" s="21">
        <f t="shared" si="16"/>
        <v>3586</v>
      </c>
      <c r="Y18" s="19">
        <f t="shared" si="2"/>
        <v>326</v>
      </c>
      <c r="Z18" s="19">
        <f t="shared" si="8"/>
        <v>0</v>
      </c>
      <c r="AA18" s="19">
        <f t="shared" si="9"/>
        <v>0</v>
      </c>
    </row>
    <row r="19" spans="3:32" x14ac:dyDescent="0.25">
      <c r="C19" s="2"/>
      <c r="D19" s="18">
        <v>700</v>
      </c>
      <c r="E19" s="2" t="s">
        <v>297</v>
      </c>
      <c r="F19" s="3">
        <f t="shared" si="12"/>
        <v>43344</v>
      </c>
      <c r="G19" s="3">
        <f t="shared" si="13"/>
        <v>43374</v>
      </c>
      <c r="H19" s="20">
        <f t="shared" si="10"/>
        <v>30</v>
      </c>
      <c r="I19" s="20">
        <f t="shared" si="11"/>
        <v>0</v>
      </c>
      <c r="K19" s="2">
        <v>12</v>
      </c>
      <c r="L19" s="18">
        <v>3357</v>
      </c>
      <c r="M19" s="19">
        <f t="shared" si="0"/>
        <v>279.75</v>
      </c>
      <c r="N19" s="19">
        <f t="shared" si="14"/>
        <v>0</v>
      </c>
      <c r="O19" s="19">
        <f t="shared" si="3"/>
        <v>0</v>
      </c>
      <c r="Q19" s="19">
        <f t="shared" si="15"/>
        <v>3357</v>
      </c>
      <c r="R19" s="19">
        <f t="shared" si="5"/>
        <v>0</v>
      </c>
      <c r="T19" s="19">
        <f t="shared" si="6"/>
        <v>2976</v>
      </c>
      <c r="U19" s="19">
        <f t="shared" si="7"/>
        <v>0</v>
      </c>
      <c r="X19" s="21">
        <f t="shared" si="16"/>
        <v>3786</v>
      </c>
      <c r="Y19" s="19">
        <f t="shared" si="2"/>
        <v>315.5</v>
      </c>
      <c r="Z19" s="19">
        <f t="shared" si="8"/>
        <v>0</v>
      </c>
      <c r="AA19" s="19">
        <f t="shared" si="9"/>
        <v>0</v>
      </c>
      <c r="AC19">
        <f ca="1">IF(AND(AD9&gt;0,AD8=0,AD7&gt;0),AE22,IF(AND(AD9&gt;0,AD8&gt;0,AD7&gt;0),AE23,IF(AND(AD9&gt;0,AD8&gt;0,AD7=0),AE23,0)))</f>
        <v>0</v>
      </c>
    </row>
    <row r="20" spans="3:32" x14ac:dyDescent="0.25">
      <c r="C20" s="2" t="s">
        <v>104</v>
      </c>
      <c r="D20" s="18">
        <v>100</v>
      </c>
      <c r="E20" s="2" t="s">
        <v>298</v>
      </c>
      <c r="F20" s="3">
        <f t="shared" si="12"/>
        <v>43374</v>
      </c>
      <c r="G20" s="3">
        <f t="shared" si="13"/>
        <v>43405</v>
      </c>
      <c r="H20" s="20">
        <f t="shared" si="10"/>
        <v>31</v>
      </c>
      <c r="I20" s="20">
        <f t="shared" si="11"/>
        <v>0</v>
      </c>
      <c r="N20" s="27">
        <f>SUM(N8:N19)</f>
        <v>0</v>
      </c>
      <c r="Z20" s="27">
        <f>SUM(Z8:Z19)</f>
        <v>0</v>
      </c>
      <c r="AC20" t="s">
        <v>481</v>
      </c>
      <c r="AD20" s="28" t="str">
        <f ca="1">TEXT(Erfassung!P5,"tt.MM.jj")</f>
        <v>20.07.18</v>
      </c>
      <c r="AE20" s="2" t="s">
        <v>482</v>
      </c>
      <c r="AF20" s="2" t="str">
        <f>TEXT(F3,"tt.MM.jj")</f>
        <v>00.01.00</v>
      </c>
    </row>
    <row r="21" spans="3:32" x14ac:dyDescent="0.25">
      <c r="C21" s="2"/>
      <c r="D21" s="18">
        <v>400</v>
      </c>
      <c r="E21" s="2" t="s">
        <v>299</v>
      </c>
      <c r="F21" s="3">
        <f t="shared" si="12"/>
        <v>43405</v>
      </c>
      <c r="G21" s="3">
        <f t="shared" si="13"/>
        <v>43435</v>
      </c>
      <c r="H21" s="20">
        <f t="shared" si="10"/>
        <v>30</v>
      </c>
      <c r="I21" s="20">
        <f t="shared" si="11"/>
        <v>0</v>
      </c>
      <c r="K21" s="2" t="s">
        <v>58</v>
      </c>
      <c r="M21" s="24">
        <f>Erfassung!W25</f>
        <v>0</v>
      </c>
      <c r="Y21" s="24">
        <f>Erfassung!W25-Erfassung!AQ25</f>
        <v>0</v>
      </c>
    </row>
    <row r="22" spans="3:32" x14ac:dyDescent="0.25">
      <c r="C22" s="2"/>
      <c r="D22" s="18">
        <v>700</v>
      </c>
      <c r="E22" s="2" t="s">
        <v>297</v>
      </c>
      <c r="F22" s="3">
        <f t="shared" si="12"/>
        <v>43435</v>
      </c>
      <c r="G22" s="3">
        <f t="shared" si="13"/>
        <v>43466</v>
      </c>
      <c r="H22" s="20">
        <f t="shared" si="10"/>
        <v>31</v>
      </c>
      <c r="I22" s="20">
        <f t="shared" si="11"/>
        <v>0</v>
      </c>
      <c r="K22" s="2" t="s">
        <v>59</v>
      </c>
      <c r="M22" s="25">
        <f>Erfassung!AB25</f>
        <v>0</v>
      </c>
      <c r="O22" s="19">
        <f>SUM(O8:O19)</f>
        <v>0</v>
      </c>
      <c r="Q22" s="25">
        <f>Erfassung!AC25-Erfassung!AO25</f>
        <v>0</v>
      </c>
      <c r="R22" s="19">
        <f>SUM(R8:R19)</f>
        <v>0</v>
      </c>
      <c r="S22" s="25"/>
      <c r="T22" s="25">
        <f>Erfassung!AL25-Erfassung!AP25</f>
        <v>0</v>
      </c>
      <c r="U22" s="19">
        <f>SUM(U8:U19)</f>
        <v>0</v>
      </c>
      <c r="Y22" s="25">
        <f>Erfassung!AD25</f>
        <v>0</v>
      </c>
      <c r="AA22" s="19">
        <f>SUM(AA8:AA19)</f>
        <v>0</v>
      </c>
      <c r="AC22" s="27">
        <f>SUM(O26,R22,U22)</f>
        <v>0</v>
      </c>
      <c r="AD22" s="2" t="s">
        <v>103</v>
      </c>
      <c r="AE22" s="2" t="s">
        <v>362</v>
      </c>
    </row>
    <row r="23" spans="3:32" x14ac:dyDescent="0.25">
      <c r="C23" s="2" t="s">
        <v>300</v>
      </c>
      <c r="D23" s="4">
        <f>22*8.5</f>
        <v>187</v>
      </c>
      <c r="I23" s="2">
        <f>SUM(I11:I22)</f>
        <v>31</v>
      </c>
      <c r="AC23" s="27">
        <f>AA26</f>
        <v>0</v>
      </c>
      <c r="AD23" s="2" t="s">
        <v>104</v>
      </c>
      <c r="AE23" s="2" t="s">
        <v>372</v>
      </c>
    </row>
    <row r="24" spans="3:32" x14ac:dyDescent="0.25">
      <c r="C24" s="2" t="s">
        <v>303</v>
      </c>
      <c r="D24" s="18">
        <v>250</v>
      </c>
      <c r="K24" s="2" t="s">
        <v>82</v>
      </c>
      <c r="O24" s="2">
        <f>Erfassung!AE25</f>
        <v>0</v>
      </c>
      <c r="AA24" s="2">
        <f>Erfassung!AF25</f>
        <v>0</v>
      </c>
    </row>
    <row r="25" spans="3:32" x14ac:dyDescent="0.25">
      <c r="C25" s="2" t="s">
        <v>305</v>
      </c>
      <c r="D25" s="18">
        <v>100</v>
      </c>
      <c r="G25" s="274"/>
      <c r="K25" s="274" t="s">
        <v>556</v>
      </c>
      <c r="M25" s="274">
        <f>Erfassung!X25</f>
        <v>0</v>
      </c>
      <c r="N25" s="274">
        <f>IF(AND(G26&gt;0,G26&lt;=F26),G26,IF(AND(G26&gt;0,G26&gt;F26),F26,0))</f>
        <v>0</v>
      </c>
    </row>
    <row r="26" spans="3:32" x14ac:dyDescent="0.25">
      <c r="C26" s="2" t="s">
        <v>72</v>
      </c>
      <c r="D26" s="2"/>
      <c r="E26" s="2"/>
      <c r="F26" s="18">
        <v>360</v>
      </c>
      <c r="G26" s="275">
        <f>Erfassung!Q39</f>
        <v>0</v>
      </c>
      <c r="K26" s="2" t="s">
        <v>64</v>
      </c>
      <c r="O26" s="19">
        <f>IF(O24=0,O22,M9)</f>
        <v>0</v>
      </c>
      <c r="AA26" s="19">
        <f>IF(AA24=0,AA22,Y9)</f>
        <v>0</v>
      </c>
    </row>
    <row r="28" spans="3:32" x14ac:dyDescent="0.25">
      <c r="C28" s="6" t="s">
        <v>73</v>
      </c>
      <c r="D28" s="7"/>
      <c r="E28" s="7"/>
      <c r="F28" s="32"/>
      <c r="G28" s="1"/>
      <c r="H28" s="1"/>
      <c r="K28" s="2" t="s">
        <v>81</v>
      </c>
      <c r="O28" s="2">
        <f>IF(AND(O26&gt;0,M22&lt;&gt;M21),1,0)</f>
        <v>0</v>
      </c>
      <c r="AA28" s="2">
        <f>IF(AND(AA26&gt;0,Y22&lt;&gt;Y21),1,0)</f>
        <v>0</v>
      </c>
    </row>
    <row r="29" spans="3:32" x14ac:dyDescent="0.25">
      <c r="C29" s="9" t="s">
        <v>74</v>
      </c>
      <c r="D29" s="10">
        <f>Erfassung!Q41</f>
        <v>0</v>
      </c>
      <c r="E29" s="29"/>
      <c r="F29" s="33">
        <f>R49</f>
        <v>0</v>
      </c>
    </row>
    <row r="30" spans="3:32" x14ac:dyDescent="0.25">
      <c r="C30" s="9" t="s">
        <v>75</v>
      </c>
      <c r="D30" s="4">
        <v>30</v>
      </c>
      <c r="E30" s="29"/>
      <c r="F30" s="33">
        <f>ROUND(F29/100*D31*20,0)/20</f>
        <v>0</v>
      </c>
      <c r="H30" s="2">
        <f>IF(AND(O26&gt;0,O24=0,M22=M21),CONCATENATE(C34,M22," ",E34),0)</f>
        <v>0</v>
      </c>
      <c r="AA30" s="2">
        <f>IF(AND(AA28=0,AA26&gt;0,AA24=0),CONCATENATE(C37,Y22," ",E37),0)</f>
        <v>0</v>
      </c>
    </row>
    <row r="31" spans="3:32" x14ac:dyDescent="0.25">
      <c r="C31" s="34" t="s">
        <v>76</v>
      </c>
      <c r="D31" s="35">
        <f>IF(AND(D29&gt;0,D30&lt;=D29),D30,IF(AND(D29&gt;0,D30&gt;D29),D29,0))</f>
        <v>0</v>
      </c>
      <c r="E31" s="30"/>
      <c r="F31" s="36"/>
      <c r="H31" s="2">
        <f>IF(AND(O26&gt;0,O28=1,O24=0),CONCATENATE(C34,M22," ",E34,C39,M21,D39),0)</f>
        <v>0</v>
      </c>
      <c r="P31" s="2">
        <f>IF(AND(O26&gt;0,O28=1,O24=0),CONCATENATE(M22,"/",M21," von Fr. ",TEXT(N20,"#'###.00")),0)</f>
        <v>0</v>
      </c>
      <c r="AA31" s="2">
        <f>IF(AND(AA28=1,AA26&gt;0,AA24=0),CONCATENATE(C37,Y22," ",E37,C39,Y21,D39),0)</f>
        <v>0</v>
      </c>
      <c r="AE31" s="2">
        <f>IF(AND(AA26&gt;0,AA28=1,AA24=0),CONCATENATE(Y22,"/",Y21," von Fr. ",TEXT(Z20,"#'###.00")),0)</f>
        <v>0</v>
      </c>
    </row>
    <row r="32" spans="3:32" x14ac:dyDescent="0.25">
      <c r="H32" s="2">
        <f>IF(AND(O26&gt;0,O28=0,O24=1),C40,0)</f>
        <v>0</v>
      </c>
      <c r="P32" s="2"/>
      <c r="AA32" s="31">
        <f>IF(AND(AA28=0,AA26&gt;0,AA24=1),C41,0)</f>
        <v>0</v>
      </c>
    </row>
    <row r="33" spans="3:31" x14ac:dyDescent="0.25">
      <c r="E33" s="2" t="s">
        <v>79</v>
      </c>
      <c r="F33" s="2" t="s">
        <v>80</v>
      </c>
      <c r="H33" s="38">
        <f>IF(H30&lt;&gt;0,H30,IF(H31&lt;&gt;0,H31,IF(H32&lt;&gt;0,H32,0)))</f>
        <v>0</v>
      </c>
      <c r="P33" s="76">
        <f>IF(P30&lt;&gt;0,P30,IF(P31&lt;&gt;0,P31,IF(P32&lt;&gt;0,P32,0)))</f>
        <v>0</v>
      </c>
      <c r="Q33" s="38">
        <f>IF(R22&gt;0,CONCATENATE(C35,Q22," ",E35),0)</f>
        <v>0</v>
      </c>
      <c r="T33" s="38">
        <f>IF(U22&gt;0,CONCATENATE(C36,T22," ",E36),0)</f>
        <v>0</v>
      </c>
      <c r="AA33" s="38">
        <f>IF(AA30&lt;&gt;0,AA30,IF(AA31&lt;&gt;0,AA31,IF(AA32&lt;&gt;0,AA32,0)))</f>
        <v>0</v>
      </c>
      <c r="AE33" s="38">
        <f>IF(AE30&lt;&gt;0,AE30,IF(AE31&lt;&gt;0,AE31,IF(AE32&lt;&gt;0,AE32,0)))</f>
        <v>0</v>
      </c>
    </row>
    <row r="34" spans="3:31" x14ac:dyDescent="0.25">
      <c r="C34" s="37" t="s">
        <v>90</v>
      </c>
      <c r="E34" s="2" t="str">
        <f>IF(M22=1,E33,IF(M22&gt;1,F33,""))</f>
        <v/>
      </c>
      <c r="P34" s="2"/>
    </row>
    <row r="35" spans="3:31" x14ac:dyDescent="0.25">
      <c r="C35" s="37" t="s">
        <v>84</v>
      </c>
      <c r="E35" s="2" t="str">
        <f>IF(Q22=1,E33,IF(Q22&gt;1,F33,""))</f>
        <v/>
      </c>
      <c r="P35" s="2"/>
    </row>
    <row r="36" spans="3:31" x14ac:dyDescent="0.25">
      <c r="C36" s="37" t="s">
        <v>85</v>
      </c>
      <c r="E36" s="2" t="str">
        <f>IF(T22=1,E33,IF(T22&gt;1,F33,""))</f>
        <v/>
      </c>
      <c r="G36" s="31" t="s">
        <v>91</v>
      </c>
      <c r="H36" s="31">
        <f>IF(AND(H33&lt;&gt;0,Q33=0,T33=0,AA33=0,N25=0),H33,IF(AND(H33=0,Q33&lt;&gt;0,T33=0,AA33=0,N25=0),Q33,IF(AND(H33=0,Q33=0,T33&lt;&gt;0,AA33=0,N25=0),T33,IF(AND(H33=0,Q33=0,T33=0,AA33&lt;&gt;0,N25=0),AA33,0))))</f>
        <v>0</v>
      </c>
      <c r="P36" s="2">
        <f>IF(AND(O28&gt;0,O26&gt;0,R22=0,U22=0,AA26=0,N25=0),P31,IF(AND(AA28&gt;0,AA26&gt;0,R22=0,U22=0,N25=0),AE31,0))</f>
        <v>0</v>
      </c>
      <c r="R36" s="39">
        <f>IF(AND(H33&lt;&gt;0,Q33=0,T33=0,AA33=0),O26,IF(AND(H33=0,Q33&lt;&gt;0,T33=0,AA33=0),R22,IF(AND(H33=0,Q33=0,T33&lt;&gt;0,AA33=0),U22,IF(AND(H33=0,Q33=0,T33=0,AA33&lt;&gt;0),AA26,0))))</f>
        <v>0</v>
      </c>
      <c r="U36" s="22" t="s">
        <v>270</v>
      </c>
      <c r="Z36" s="2">
        <f>Erfassung!Q35</f>
        <v>0</v>
      </c>
      <c r="AA36" s="2"/>
      <c r="AB36" s="27">
        <f>Erfassung!S35</f>
        <v>0</v>
      </c>
    </row>
    <row r="37" spans="3:31" x14ac:dyDescent="0.25">
      <c r="C37" s="37" t="s">
        <v>86</v>
      </c>
      <c r="E37" s="2" t="str">
        <f>IF(Y22=1,E33,IF(Y22&gt;1,F33,""))</f>
        <v/>
      </c>
      <c r="G37" s="31"/>
      <c r="H37" s="31"/>
      <c r="P37" s="2"/>
      <c r="R37" s="31"/>
    </row>
    <row r="38" spans="3:31" x14ac:dyDescent="0.25">
      <c r="C38" s="2" t="s">
        <v>72</v>
      </c>
      <c r="E38" s="2"/>
      <c r="G38" s="31" t="s">
        <v>88</v>
      </c>
      <c r="H38" s="31">
        <f>IF(AND(AA33&lt;&gt;0,H33&lt;&gt;0,Q33=0,T33=0),AA33,IF(AND(AA33&lt;&gt;0,Q33&lt;&gt;0,T33=0,H33=0),AA33,IF(AND(AA33&lt;&gt;0,T33&lt;&gt;0,Q33=0,H33=0),AA33,IF(AND(H33&lt;&gt;0,T33&lt;&gt;0,Q33=0,AA33=0),H33,IF(AND(Q33&lt;&gt;0,T33&lt;&gt;0,H33=0,AA33=0),Q33,0)))))</f>
        <v>0</v>
      </c>
      <c r="P38" s="2">
        <f>IF(AND(H33&lt;&gt;0,Q33=0,T33=0,AA33&lt;&gt;0),AE31,IF(AND(H33=0,Q33&lt;&gt;0,T33=0,AA33&lt;&gt;0),AE31,IF(AND(H33=0,Q33=0,T33&lt;&gt;0,AA33&lt;&gt;0),AE31,IF(AND(H33&lt;&gt;0,Q33=0,T33&lt;&gt;0,AA33=0),P33,0))))</f>
        <v>0</v>
      </c>
      <c r="R38" s="39">
        <f>IF(AND(AA33&lt;&gt;0,H33&lt;&gt;0,Q33=0,T33=0),AA26,IF(AND(AA33&lt;&gt;0,Q33&lt;&gt;0,T33=0,H33=0),AA26,IF(AND(AA33&lt;&gt;0,T33&lt;&gt;0,Q33=0,H33=0),AA26,IF(AND(H33&lt;&gt;0,Q33=0,T33&lt;&gt;0,AA33=0),O26,IF(AND(H33=0,Q33&lt;&gt;0,T33&lt;&gt;0,AA33=0),R22,0)))))</f>
        <v>0</v>
      </c>
      <c r="U38" t="s">
        <v>72</v>
      </c>
      <c r="Z38" s="27">
        <f>IF(AND(G26&gt;0,G26&lt;=F26),G26,IF(AND(G26&gt;0,G26&gt;F26),F26,0))</f>
        <v>0</v>
      </c>
    </row>
    <row r="39" spans="3:31" x14ac:dyDescent="0.25">
      <c r="C39" s="2" t="s">
        <v>78</v>
      </c>
      <c r="D39" s="23" t="s">
        <v>77</v>
      </c>
      <c r="G39" s="31" t="s">
        <v>89</v>
      </c>
      <c r="H39" s="31">
        <f>IF(AND(H33&lt;&gt;0,Q33=0,T33=0,AA33&lt;&gt;0),H33,IF(AND(AA33&lt;&gt;0,Q33&lt;&gt;0,T33=0,H33=0),Q33,IF(AND(AA33&lt;&gt;0,T33&lt;&gt;0,Q33=0,H33=0),T33,IF(AND(H33&lt;&gt;0,T33&lt;&gt;0,Q33=0,AA33=0),T33,IF(AND(Q33&lt;&gt;0,T33&lt;&gt;0,H33=0,AA33=0),T33,0)))))</f>
        <v>0</v>
      </c>
      <c r="P39" s="2">
        <f>IF(AND(H33&lt;&gt;0,Q33=0,T33&lt;&gt;0,AA33=0),0,IF(AND(H33&lt;&gt;0,Q33=0,T33=0,AA33&lt;&gt;0),P33,0))</f>
        <v>0</v>
      </c>
      <c r="R39" s="39">
        <f>IF(AND(AA33&lt;&gt;0,H33&lt;&gt;0,Q33=0,T33=0),O26,IF(AND(AA33&lt;&gt;0,Q33&lt;&gt;0,T33=0,H33=0),R22,IF(AND(AA33&lt;&gt;0,T33&lt;&gt;0,Q33=0,H33=0),U22,IF(AND(H33&lt;&gt;0,Q33=0,T33&lt;&gt;0,AA33=0),U22,IF(AND(Q33&lt;&gt;0,T33&lt;&gt;0,AA33=0,H33=0),U22,0)))))</f>
        <v>0</v>
      </c>
    </row>
    <row r="40" spans="3:31" x14ac:dyDescent="0.25">
      <c r="C40" s="2" t="s">
        <v>83</v>
      </c>
      <c r="P40" s="2"/>
      <c r="R40" s="31"/>
    </row>
    <row r="41" spans="3:31" x14ac:dyDescent="0.25">
      <c r="C41" s="2" t="s">
        <v>87</v>
      </c>
      <c r="G41" s="31" t="s">
        <v>92</v>
      </c>
      <c r="H41" s="31">
        <f>IF(AND(H33&lt;&gt;0,Q33=0,T33&lt;&gt;0,AA33&lt;&gt;0),AA33,IF(AND(H33=0,Q33&lt;&gt;0,T33&lt;&gt;0,AA33&lt;&gt;0),AA33,0))</f>
        <v>0</v>
      </c>
      <c r="P41" s="2">
        <f>IF(AND(H33&lt;&gt;0,Q33=0,T33&lt;&gt;0,AA33&lt;&gt;0),AE33,IF(AND(H33=0,Q33&lt;&gt;0,T33&lt;&gt;0,AA33&lt;&gt;0),AE33,0))</f>
        <v>0</v>
      </c>
      <c r="R41" s="39">
        <f>IF(AND(AA33&lt;&gt;0,T33&lt;&gt;0,Q33=0,H33&lt;&gt;0),AA26,IF(AND(AA33&lt;&gt;0,T33&lt;&gt;0,Q33&lt;&gt;0,H33=0),AA26,0))</f>
        <v>0</v>
      </c>
    </row>
    <row r="42" spans="3:31" x14ac:dyDescent="0.25">
      <c r="G42" s="31" t="s">
        <v>93</v>
      </c>
      <c r="H42" s="31">
        <f>IF(AND(H33&lt;&gt;0,Q33=0,T33&lt;&gt;0,AA33&lt;&gt;0),H33,IF(AND(H33=0,Q33&lt;&gt;0,T33&lt;&gt;0,AA33&lt;&gt;0),Q33,0))</f>
        <v>0</v>
      </c>
      <c r="P42" s="2">
        <f>IF(AND(H33&lt;&gt;0,Q33=0,T33&lt;&gt;0,AA33&lt;&gt;0),P33,IF(AND(H33=0,Q33&lt;&gt;0,T33&lt;&gt;0,AA33&lt;&gt;0),0,0))</f>
        <v>0</v>
      </c>
      <c r="R42" s="39">
        <f>IF(AND(AA33&lt;&gt;0,T33&lt;&gt;0,Q33=0,H33&lt;&gt;0),O26,IF(AND(AA33&lt;&gt;0,T33&lt;&gt;0,Q33&lt;&gt;0,H33=0),R22,0))</f>
        <v>0</v>
      </c>
    </row>
    <row r="43" spans="3:31" x14ac:dyDescent="0.25">
      <c r="G43" s="31" t="s">
        <v>94</v>
      </c>
      <c r="H43" s="31">
        <f>IF(AND(H33&lt;&gt;0,Q33=0,T33&lt;&gt;0,AA33&lt;&gt;0),T33,IF(AND(H33=0,Q33&lt;&gt;0,T33&lt;&gt;0,AA33&lt;&gt;0),T33,0))</f>
        <v>0</v>
      </c>
      <c r="P43" s="2"/>
      <c r="R43" s="39">
        <f>IF(AND(AA33&lt;&gt;0,T33&lt;&gt;0,Q33=0,H33&lt;&gt;0),U22,IF(AND(AA33&lt;&gt;0,T33&lt;&gt;0,Q33&lt;&gt;0,H33=0),U22,0))</f>
        <v>0</v>
      </c>
    </row>
    <row r="44" spans="3:31" x14ac:dyDescent="0.25">
      <c r="P44" s="2"/>
      <c r="R44" s="31"/>
    </row>
    <row r="45" spans="3:31" x14ac:dyDescent="0.25">
      <c r="G45" s="38" t="s">
        <v>95</v>
      </c>
      <c r="H45" s="38">
        <f>IF(H36&lt;&gt;0,H36,IF(H38&lt;&gt;0,H38,IF(H41&lt;&gt;0,H41,0)))</f>
        <v>0</v>
      </c>
      <c r="P45" s="38">
        <f>IF(P36&gt;0,P36,IF(P38&lt;&gt;0,P38,IF(P41&lt;&gt;0,P41,0)))</f>
        <v>0</v>
      </c>
      <c r="R45" s="40">
        <f>IF(AND(R36&gt;0,N25=0),R36,IF(AND(R38&gt;0,N25=0),R38,IF(AND(N25=0,R41&gt;0),R41,0)))</f>
        <v>0</v>
      </c>
    </row>
    <row r="46" spans="3:31" x14ac:dyDescent="0.25">
      <c r="G46" s="38" t="s">
        <v>96</v>
      </c>
      <c r="H46" s="38">
        <f>IF(H39&lt;&gt;0,H39,IF(H42&lt;&gt;0,H42,0))</f>
        <v>0</v>
      </c>
      <c r="P46" s="38">
        <f>IF(P39&lt;&gt;0,P39,IF(P42&lt;&gt;0,P42,0))</f>
        <v>0</v>
      </c>
      <c r="R46" s="40">
        <f>IF(R39&gt;0,R39,IF(R42&gt;0,R42,0))</f>
        <v>0</v>
      </c>
    </row>
    <row r="47" spans="3:31" x14ac:dyDescent="0.25">
      <c r="G47" s="38" t="s">
        <v>97</v>
      </c>
      <c r="H47" s="38">
        <f>IF(H43&lt;&gt;0,H43,0)</f>
        <v>0</v>
      </c>
      <c r="P47" s="38">
        <f>IF(P43&lt;&gt;0,P43,0)</f>
        <v>0</v>
      </c>
      <c r="R47" s="40">
        <f>IF(R43&gt;0,R43,0)</f>
        <v>0</v>
      </c>
    </row>
    <row r="49" spans="1:33" x14ac:dyDescent="0.25">
      <c r="R49" s="40">
        <f>SUM(R45:R48)</f>
        <v>0</v>
      </c>
    </row>
    <row r="51" spans="1:33" x14ac:dyDescent="0.25">
      <c r="A51" s="29"/>
      <c r="B51" s="30"/>
      <c r="C51" s="30"/>
      <c r="D51" s="30"/>
      <c r="E51" s="30"/>
      <c r="F51" s="30"/>
      <c r="G51" s="30"/>
      <c r="H51" s="30">
        <f>IF(F30&gt;0,C28,0)</f>
        <v>0</v>
      </c>
      <c r="I51" s="30"/>
      <c r="J51" s="30"/>
      <c r="K51" s="30"/>
      <c r="L51" s="30"/>
      <c r="M51" s="30"/>
      <c r="N51" s="30">
        <f>IF(D31=0,0,IF(D31&gt;0,CONCATENATE(D31," ","%"),0))</f>
        <v>0</v>
      </c>
      <c r="O51" s="30"/>
      <c r="P51" s="30"/>
      <c r="Q51" s="30"/>
      <c r="R51" s="42">
        <f>F30</f>
        <v>0</v>
      </c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x14ac:dyDescent="0.25">
      <c r="AB52" t="s">
        <v>119</v>
      </c>
    </row>
    <row r="53" spans="1:33" x14ac:dyDescent="0.25">
      <c r="N53" s="2" t="s">
        <v>124</v>
      </c>
      <c r="O53" s="2"/>
      <c r="P53" s="2"/>
      <c r="Q53" s="2" t="s">
        <v>125</v>
      </c>
    </row>
    <row r="54" spans="1:33" x14ac:dyDescent="0.25">
      <c r="K54" s="2"/>
      <c r="N54" s="2" t="s">
        <v>107</v>
      </c>
      <c r="O54" s="2" t="s">
        <v>31</v>
      </c>
      <c r="Q54" s="2" t="s">
        <v>107</v>
      </c>
      <c r="R54" s="2" t="s">
        <v>31</v>
      </c>
    </row>
    <row r="55" spans="1:33" x14ac:dyDescent="0.25">
      <c r="C55" s="2" t="s">
        <v>106</v>
      </c>
      <c r="D55" s="2"/>
      <c r="E55" s="2"/>
      <c r="F55" s="2"/>
      <c r="K55" s="20" t="s">
        <v>114</v>
      </c>
      <c r="L55" s="43"/>
      <c r="M55" s="43"/>
      <c r="N55" s="19"/>
      <c r="O55" s="19"/>
      <c r="P55" s="19"/>
      <c r="Q55" s="19"/>
      <c r="R55" s="19"/>
      <c r="S55" s="43"/>
    </row>
    <row r="56" spans="1:33" x14ac:dyDescent="0.25">
      <c r="C56" s="2" t="s">
        <v>107</v>
      </c>
      <c r="D56" s="2"/>
      <c r="E56" s="2"/>
      <c r="F56" s="27">
        <f>Erfassung!Q30</f>
        <v>0</v>
      </c>
      <c r="K56" s="20" t="s">
        <v>115</v>
      </c>
      <c r="L56" s="43"/>
      <c r="M56" s="43"/>
      <c r="N56" s="19"/>
      <c r="O56" s="19"/>
      <c r="P56" s="19"/>
      <c r="Q56" s="19"/>
      <c r="R56" s="19"/>
      <c r="S56" s="43"/>
    </row>
    <row r="57" spans="1:33" x14ac:dyDescent="0.25">
      <c r="C57" s="2" t="s">
        <v>31</v>
      </c>
      <c r="D57" s="2"/>
      <c r="E57" s="2"/>
      <c r="F57" s="27">
        <f>Erfassung!Q31</f>
        <v>0</v>
      </c>
      <c r="G57" s="27">
        <f>F56+F57</f>
        <v>0</v>
      </c>
      <c r="K57" s="20" t="s">
        <v>112</v>
      </c>
      <c r="L57" s="43"/>
      <c r="M57" s="43"/>
      <c r="N57" s="19"/>
      <c r="O57" s="19"/>
      <c r="P57" s="19"/>
      <c r="Q57" s="19"/>
      <c r="R57" s="19"/>
      <c r="S57" s="43"/>
    </row>
    <row r="58" spans="1:33" x14ac:dyDescent="0.25">
      <c r="C58" s="2" t="s">
        <v>108</v>
      </c>
      <c r="F58" s="27">
        <f>Erfassung!Q44</f>
        <v>0</v>
      </c>
      <c r="K58" s="20" t="s">
        <v>113</v>
      </c>
      <c r="L58" s="43"/>
      <c r="M58" s="43"/>
      <c r="N58" s="19"/>
      <c r="O58" s="19"/>
      <c r="P58" s="19"/>
      <c r="Q58" s="19"/>
      <c r="R58" s="19"/>
      <c r="S58" s="43"/>
    </row>
    <row r="59" spans="1:33" x14ac:dyDescent="0.25">
      <c r="C59" s="2" t="s">
        <v>404</v>
      </c>
      <c r="D59" s="2" t="s">
        <v>139</v>
      </c>
      <c r="E59" s="2" t="s">
        <v>140</v>
      </c>
      <c r="F59" s="27">
        <f>Erfassung!R45</f>
        <v>0</v>
      </c>
      <c r="G59" s="27">
        <f>IF(F61=E66,G57,IF(F61&gt;E66,ROUND(G57/F61*E66*20,0)/20,0))</f>
        <v>0</v>
      </c>
      <c r="K59" s="20" t="s">
        <v>116</v>
      </c>
      <c r="L59" s="43"/>
      <c r="M59" s="43"/>
      <c r="N59" s="19"/>
      <c r="O59" s="19"/>
      <c r="P59" s="19"/>
      <c r="Q59" s="19"/>
      <c r="R59" s="19"/>
      <c r="S59" s="43"/>
    </row>
    <row r="60" spans="1:33" x14ac:dyDescent="0.25">
      <c r="C60" s="274" t="s">
        <v>45</v>
      </c>
      <c r="D60">
        <f>Erfassung!J36</f>
        <v>0</v>
      </c>
      <c r="K60" s="20" t="s">
        <v>117</v>
      </c>
      <c r="L60" s="43"/>
      <c r="M60" s="43"/>
      <c r="N60" s="19"/>
      <c r="O60" s="19"/>
      <c r="P60" s="19"/>
      <c r="Q60" s="19"/>
      <c r="R60" s="19"/>
      <c r="S60" s="43"/>
    </row>
    <row r="61" spans="1:33" x14ac:dyDescent="0.25">
      <c r="C61" s="2" t="s">
        <v>109</v>
      </c>
      <c r="F61" s="2">
        <f>Erfassung!W25+E67</f>
        <v>0</v>
      </c>
      <c r="K61" s="20" t="s">
        <v>118</v>
      </c>
      <c r="L61" s="43"/>
      <c r="M61" s="43"/>
      <c r="N61" s="19"/>
      <c r="O61" s="19"/>
      <c r="P61" s="19"/>
      <c r="Q61" s="19"/>
      <c r="R61" s="19"/>
      <c r="S61" s="43"/>
    </row>
    <row r="62" spans="1:33" x14ac:dyDescent="0.25">
      <c r="C62" s="2" t="s">
        <v>25</v>
      </c>
      <c r="D62" s="2" t="s">
        <v>110</v>
      </c>
      <c r="E62" s="2">
        <f>Erfassung!AB25+Erfassung!AN25</f>
        <v>0</v>
      </c>
      <c r="K62" s="20" t="s">
        <v>120</v>
      </c>
      <c r="L62" s="43"/>
      <c r="M62" s="43"/>
      <c r="N62" s="19"/>
      <c r="O62" s="19"/>
      <c r="P62" s="19"/>
      <c r="Q62" s="19"/>
      <c r="R62" s="19"/>
      <c r="S62" s="43"/>
    </row>
    <row r="63" spans="1:33" x14ac:dyDescent="0.25">
      <c r="C63" s="2"/>
      <c r="D63" s="2" t="s">
        <v>111</v>
      </c>
      <c r="E63" s="2">
        <f>Erfassung!AC25</f>
        <v>0</v>
      </c>
      <c r="K63" s="20" t="s">
        <v>121</v>
      </c>
      <c r="L63" s="43"/>
      <c r="M63" s="43"/>
      <c r="N63" s="19"/>
      <c r="O63" s="19"/>
      <c r="P63" s="19"/>
      <c r="Q63" s="19"/>
      <c r="R63" s="19"/>
      <c r="S63" s="43"/>
    </row>
    <row r="64" spans="1:33" x14ac:dyDescent="0.25">
      <c r="C64" s="2"/>
      <c r="D64" s="2" t="s">
        <v>112</v>
      </c>
      <c r="E64" s="2">
        <f>Erfassung!AL25</f>
        <v>0</v>
      </c>
      <c r="K64" s="20" t="s">
        <v>122</v>
      </c>
      <c r="L64" s="43"/>
      <c r="M64" s="43"/>
      <c r="N64" s="19"/>
      <c r="O64" s="19"/>
      <c r="P64" s="19"/>
      <c r="Q64" s="19"/>
      <c r="R64" s="19"/>
      <c r="S64" s="43"/>
    </row>
    <row r="65" spans="1:32" x14ac:dyDescent="0.25">
      <c r="C65" s="2"/>
      <c r="D65" s="2" t="s">
        <v>113</v>
      </c>
      <c r="E65" s="2">
        <f>Erfassung!AD25</f>
        <v>0</v>
      </c>
      <c r="F65" s="2">
        <f>SUM(E62:E65)</f>
        <v>0</v>
      </c>
      <c r="K65" s="20" t="s">
        <v>123</v>
      </c>
      <c r="L65" s="43"/>
      <c r="M65" s="43"/>
      <c r="N65" s="19"/>
      <c r="O65" s="19"/>
      <c r="P65" s="19"/>
      <c r="Q65" s="19"/>
      <c r="R65" s="19"/>
      <c r="S65" s="43"/>
    </row>
    <row r="66" spans="1:32" x14ac:dyDescent="0.25">
      <c r="C66" s="2"/>
      <c r="D66" s="2"/>
      <c r="E66" s="2">
        <f>SUM(E62:E65)</f>
        <v>0</v>
      </c>
      <c r="F66" s="2">
        <f>F61-F65</f>
        <v>0</v>
      </c>
      <c r="G66" t="s">
        <v>138</v>
      </c>
      <c r="N66" s="27">
        <f>SUM(N55:N65)</f>
        <v>0</v>
      </c>
      <c r="O66" s="27">
        <f>SUM(O55:O65)</f>
        <v>0</v>
      </c>
      <c r="P66" s="27"/>
      <c r="Q66" s="27">
        <f>SUM(Q55:Q65)</f>
        <v>0</v>
      </c>
      <c r="R66" s="27">
        <f>SUM(R55:R65)</f>
        <v>0</v>
      </c>
    </row>
    <row r="67" spans="1:32" x14ac:dyDescent="0.25">
      <c r="D67" s="274" t="s">
        <v>564</v>
      </c>
      <c r="E67">
        <f>Erfassung!N25</f>
        <v>0</v>
      </c>
    </row>
    <row r="68" spans="1:32" x14ac:dyDescent="0.25">
      <c r="K68" s="37" t="s">
        <v>126</v>
      </c>
      <c r="N68" s="27">
        <f>IF(F61=F65,F56,0)</f>
        <v>0</v>
      </c>
      <c r="O68" s="27">
        <f>IF(F61=F65,F57,0)</f>
        <v>0</v>
      </c>
    </row>
    <row r="69" spans="1:32" x14ac:dyDescent="0.25">
      <c r="C69" s="2" t="s">
        <v>142</v>
      </c>
      <c r="F69" s="27">
        <f>F58/2</f>
        <v>0</v>
      </c>
      <c r="K69" s="37" t="s">
        <v>127</v>
      </c>
      <c r="N69" s="27">
        <f>IF(F61&gt;F65,ROUND(F56/F61*F65*20,0)/20,0)</f>
        <v>0</v>
      </c>
      <c r="O69" s="27">
        <f>IF(F61&gt;F65,ROUND(F57/F61*F65*20,0)/20,0)</f>
        <v>0</v>
      </c>
    </row>
    <row r="70" spans="1:32" x14ac:dyDescent="0.25">
      <c r="C70" s="2" t="s">
        <v>136</v>
      </c>
      <c r="F70" s="44">
        <f>IF(F56&lt;=F69,F56,IF(F56&gt;F69,F69,0))</f>
        <v>0</v>
      </c>
      <c r="K70" s="37" t="s">
        <v>128</v>
      </c>
      <c r="N70" s="44">
        <f>SUM(N68:N69)</f>
        <v>0</v>
      </c>
      <c r="O70" s="44">
        <f>SUM(O68:O69)</f>
        <v>0</v>
      </c>
      <c r="T70" s="2" t="str">
        <f ca="1">IF(AND(F73=0,L76=0),"Miete",IF(AND(F73=0,L76=1),N78,IF(F73&lt;&gt;0,C73,0)))</f>
        <v>Miete</v>
      </c>
    </row>
    <row r="71" spans="1:32" x14ac:dyDescent="0.25">
      <c r="C71" s="2" t="s">
        <v>31</v>
      </c>
      <c r="F71" s="44">
        <f ca="1">IF(AND(L76=1,F59=0),O70,IF(AND(L76=1,F59&lt;&gt;0),0,0))</f>
        <v>0</v>
      </c>
      <c r="T71" s="2" t="str">
        <f ca="1">IF(AND(F73=0,L76=0),C57,IF(AND(F73=0,L76=1,F59=0),C57,IF(AND(L76=1,F59&lt;&gt;0),0,0)))</f>
        <v>Nebenkosten</v>
      </c>
    </row>
    <row r="72" spans="1:32" x14ac:dyDescent="0.25">
      <c r="K72" s="37" t="s">
        <v>129</v>
      </c>
    </row>
    <row r="73" spans="1:32" x14ac:dyDescent="0.25">
      <c r="C73" s="2" t="s">
        <v>551</v>
      </c>
      <c r="F73">
        <f>Erfassung!R33</f>
        <v>0</v>
      </c>
      <c r="K73" s="2" t="s">
        <v>130</v>
      </c>
      <c r="L73" s="2">
        <f>O24</f>
        <v>0</v>
      </c>
    </row>
    <row r="74" spans="1:32" x14ac:dyDescent="0.25">
      <c r="K74" s="2" t="s">
        <v>131</v>
      </c>
      <c r="L74" s="2">
        <f>AA24</f>
        <v>0</v>
      </c>
    </row>
    <row r="75" spans="1:32" x14ac:dyDescent="0.25">
      <c r="C75" s="274">
        <f>IF(F73&lt;&gt;0,0,IF(E66&lt;&gt;F61,CONCATENATE(E66,"/",F61," von Fr. ",TEXT(F56,"#'###.00")),0))</f>
        <v>0</v>
      </c>
      <c r="D75" s="274"/>
      <c r="E75" s="274"/>
      <c r="F75" s="274"/>
      <c r="K75" s="2" t="s">
        <v>132</v>
      </c>
      <c r="L75" s="2">
        <f ca="1">IF(D60=0,Erfassung!AG31,0)</f>
        <v>0</v>
      </c>
    </row>
    <row r="76" spans="1:32" x14ac:dyDescent="0.25">
      <c r="C76" s="274">
        <f>IF(F73&lt;&gt;0,0,IF(E66&lt;&gt;F61,CONCATENATE(E66,"/",F61," von Fr. ",TEXT(F57,"#'###.00")),0))</f>
        <v>0</v>
      </c>
      <c r="D76" s="274"/>
      <c r="E76" s="274"/>
      <c r="F76" s="274"/>
      <c r="K76" s="2" t="str">
        <f>Erfassung!W29</f>
        <v>Jugendliche Person unter 25 Jahren</v>
      </c>
      <c r="L76" s="2">
        <f ca="1">SUM(L73:L75)</f>
        <v>0</v>
      </c>
      <c r="M76" t="s">
        <v>531</v>
      </c>
      <c r="N76" s="2">
        <f ca="1">IF(AND(L76=1,F59=0),E59,IF(AND(L76=1,F59&lt;&gt;0),D59,0))</f>
        <v>0</v>
      </c>
    </row>
    <row r="77" spans="1:32" x14ac:dyDescent="0.25">
      <c r="C77" s="274"/>
      <c r="D77" s="274"/>
      <c r="E77" s="274"/>
      <c r="F77" s="274"/>
    </row>
    <row r="78" spans="1:32" x14ac:dyDescent="0.25">
      <c r="C78" s="274"/>
      <c r="D78" s="274"/>
      <c r="E78" s="274"/>
      <c r="F78" s="274"/>
      <c r="K78" s="2">
        <f ca="1">IF(L76=1,K76,0)</f>
        <v>0</v>
      </c>
      <c r="N78" s="2">
        <f ca="1">IF(L76=1,CONCATENATE(C69," Fr. ",F69," ",N76,C59),0)</f>
        <v>0</v>
      </c>
    </row>
    <row r="79" spans="1:32" x14ac:dyDescent="0.25">
      <c r="C79" s="274"/>
      <c r="D79" s="274"/>
      <c r="E79" s="274"/>
      <c r="F79" s="274"/>
    </row>
    <row r="80" spans="1:32" hidden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59" t="s">
        <v>135</v>
      </c>
      <c r="L80" s="30"/>
      <c r="M80" s="30"/>
      <c r="N80" s="60">
        <f ca="1">IF(L76=0,N70,IF(L76=1,F70,0))</f>
        <v>0</v>
      </c>
      <c r="O80" s="60">
        <f ca="1">IF(L76=0,O70,IF(L76=1,F71,0))</f>
        <v>0</v>
      </c>
      <c r="P80" s="30"/>
      <c r="Q80" s="60">
        <f ca="1">SUM(N80:P80)</f>
        <v>0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</sheetData>
  <sheetProtection password="F801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Erfassung</vt:lpstr>
      <vt:lpstr>Einnahmen</vt:lpstr>
      <vt:lpstr>Unterstützung</vt:lpstr>
      <vt:lpstr>Auszahlung und Buchung</vt:lpstr>
      <vt:lpstr>Übersicht KVG</vt:lpstr>
      <vt:lpstr>Gefestigte LG</vt:lpstr>
      <vt:lpstr>Rechnen</vt:lpstr>
    </vt:vector>
  </TitlesOfParts>
  <Company>Kantonale Verwaltungen 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Fontanilles, Salvador FKD</dc:creator>
  <cp:lastModifiedBy>Nufer, Dominika FKD</cp:lastModifiedBy>
  <cp:lastPrinted>2015-12-03T09:48:12Z</cp:lastPrinted>
  <dcterms:created xsi:type="dcterms:W3CDTF">2014-10-17T05:07:41Z</dcterms:created>
  <dcterms:modified xsi:type="dcterms:W3CDTF">2018-07-20T05:29:32Z</dcterms:modified>
</cp:coreProperties>
</file>