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pa\P_honorierung\15_Lohntools_Tabellen_Einreihungstools\2024\4_Lohnrechner_Lohntabellenrechner\1_Nettolohnrechner\"/>
    </mc:Choice>
  </mc:AlternateContent>
  <workbookProtection workbookAlgorithmName="SHA-512" workbookHashValue="mq9DrPsncRu7lO2DpLxNcmJzgtr5UGsPnT7mhsx8liIQT+Nn09rOh+M34JGlJiGv+IGqgScPXISMlgj/1XXtVA==" workbookSaltValue="b2wvW8vcPPeXnthScs18zg==" workbookSpinCount="100000" lockStructure="1"/>
  <bookViews>
    <workbookView xWindow="-120" yWindow="-120" windowWidth="29040" windowHeight="15840" tabRatio="431" firstSheet="1" activeTab="1"/>
  </bookViews>
  <sheets>
    <sheet name="Relaese Notes" sheetId="11" r:id="rId1"/>
    <sheet name="Berechnung Nettolohn" sheetId="1" r:id="rId2"/>
    <sheet name="PK-Tabelle" sheetId="2" state="hidden" r:id="rId3"/>
    <sheet name="Datensätze" sheetId="6" state="hidden" r:id="rId4"/>
    <sheet name="Lohntabelle24" sheetId="8" state="hidden" r:id="rId5"/>
    <sheet name="Matrizen 23_24" sheetId="10" state="hidden" r:id="rId6"/>
  </sheets>
  <definedNames>
    <definedName name="_xlnm.Print_Area" localSheetId="1">'Berechnung Nettolohn'!$A$1:$L$58</definedName>
  </definedNames>
  <calcPr calcId="162913"/>
</workbook>
</file>

<file path=xl/calcChain.xml><?xml version="1.0" encoding="utf-8"?>
<calcChain xmlns="http://schemas.openxmlformats.org/spreadsheetml/2006/main">
  <c r="B35" i="6" l="1"/>
  <c r="I3" i="1" l="1"/>
  <c r="C2" i="1" l="1"/>
  <c r="C39" i="8"/>
  <c r="C2" i="8"/>
  <c r="F18" i="1" l="1"/>
  <c r="F8" i="6" l="1"/>
  <c r="F6" i="6"/>
  <c r="E34" i="1" l="1"/>
  <c r="E36" i="1"/>
  <c r="F36" i="1" l="1"/>
  <c r="C7" i="8"/>
  <c r="D7" i="8"/>
  <c r="E7" i="8"/>
  <c r="F7" i="8"/>
  <c r="G7" i="8"/>
  <c r="H7" i="8"/>
  <c r="I7" i="8"/>
  <c r="J7" i="8"/>
  <c r="K7" i="8"/>
  <c r="L7" i="8"/>
  <c r="M7" i="8"/>
  <c r="N7" i="8"/>
  <c r="O7" i="8"/>
  <c r="P7" i="8"/>
  <c r="Q7" i="8"/>
  <c r="R7" i="8"/>
  <c r="S7" i="8"/>
  <c r="T7" i="8"/>
  <c r="U7" i="8"/>
  <c r="V7" i="8"/>
  <c r="W7" i="8"/>
  <c r="X7" i="8"/>
  <c r="Y7" i="8"/>
  <c r="Z7" i="8"/>
  <c r="AA7" i="8"/>
  <c r="AB7" i="8"/>
  <c r="AC7" i="8"/>
  <c r="AD7" i="8"/>
  <c r="AE7" i="8"/>
  <c r="AF7" i="8"/>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C21"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C22"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C23" i="8"/>
  <c r="D23"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C2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C25" i="8"/>
  <c r="D25" i="8"/>
  <c r="E25" i="8"/>
  <c r="F25" i="8"/>
  <c r="G25" i="8"/>
  <c r="H25" i="8"/>
  <c r="I25" i="8"/>
  <c r="J25" i="8"/>
  <c r="K25" i="8"/>
  <c r="L25" i="8"/>
  <c r="M25" i="8"/>
  <c r="N25" i="8"/>
  <c r="O25" i="8"/>
  <c r="P25" i="8"/>
  <c r="Q25" i="8"/>
  <c r="R25" i="8"/>
  <c r="S25" i="8"/>
  <c r="T25" i="8"/>
  <c r="U25" i="8"/>
  <c r="V25" i="8"/>
  <c r="W25" i="8"/>
  <c r="X25" i="8"/>
  <c r="Y25" i="8"/>
  <c r="Z25" i="8"/>
  <c r="AA25" i="8"/>
  <c r="AB25" i="8"/>
  <c r="AC25" i="8"/>
  <c r="AD25" i="8"/>
  <c r="AE25" i="8"/>
  <c r="AF25" i="8"/>
  <c r="C26" i="8"/>
  <c r="D26" i="8"/>
  <c r="E26" i="8"/>
  <c r="F26" i="8"/>
  <c r="G26" i="8"/>
  <c r="H26" i="8"/>
  <c r="I26" i="8"/>
  <c r="J26" i="8"/>
  <c r="K26" i="8"/>
  <c r="L26" i="8"/>
  <c r="M26" i="8"/>
  <c r="N26" i="8"/>
  <c r="O26" i="8"/>
  <c r="P26" i="8"/>
  <c r="Q26" i="8"/>
  <c r="R26" i="8"/>
  <c r="S26" i="8"/>
  <c r="T26" i="8"/>
  <c r="U26" i="8"/>
  <c r="V26" i="8"/>
  <c r="W26" i="8"/>
  <c r="X26" i="8"/>
  <c r="Y26" i="8"/>
  <c r="Z26" i="8"/>
  <c r="AA26" i="8"/>
  <c r="AB26" i="8"/>
  <c r="AC26" i="8"/>
  <c r="AD26" i="8"/>
  <c r="AE26" i="8"/>
  <c r="AF26" i="8"/>
  <c r="C27" i="8"/>
  <c r="D27" i="8"/>
  <c r="E27" i="8"/>
  <c r="F27" i="8"/>
  <c r="G27" i="8"/>
  <c r="H27" i="8"/>
  <c r="I27" i="8"/>
  <c r="J27" i="8"/>
  <c r="K27" i="8"/>
  <c r="L27" i="8"/>
  <c r="M27" i="8"/>
  <c r="N27" i="8"/>
  <c r="O27" i="8"/>
  <c r="P27" i="8"/>
  <c r="Q27" i="8"/>
  <c r="R27" i="8"/>
  <c r="S27" i="8"/>
  <c r="T27" i="8"/>
  <c r="U27" i="8"/>
  <c r="V27" i="8"/>
  <c r="W27" i="8"/>
  <c r="X27" i="8"/>
  <c r="Y27" i="8"/>
  <c r="Z27" i="8"/>
  <c r="AA27" i="8"/>
  <c r="AB27" i="8"/>
  <c r="AC27" i="8"/>
  <c r="AD27" i="8"/>
  <c r="AE27" i="8"/>
  <c r="AF27" i="8"/>
  <c r="C28" i="8"/>
  <c r="D28" i="8"/>
  <c r="E28" i="8"/>
  <c r="F28" i="8"/>
  <c r="G28" i="8"/>
  <c r="H28" i="8"/>
  <c r="I28" i="8"/>
  <c r="J28" i="8"/>
  <c r="K28" i="8"/>
  <c r="L28" i="8"/>
  <c r="M28" i="8"/>
  <c r="N28" i="8"/>
  <c r="O28" i="8"/>
  <c r="P28" i="8"/>
  <c r="Q28" i="8"/>
  <c r="R28" i="8"/>
  <c r="S28" i="8"/>
  <c r="T28" i="8"/>
  <c r="U28" i="8"/>
  <c r="V28" i="8"/>
  <c r="W28" i="8"/>
  <c r="X28" i="8"/>
  <c r="Y28" i="8"/>
  <c r="Z28" i="8"/>
  <c r="AA28" i="8"/>
  <c r="AB28" i="8"/>
  <c r="AC28" i="8"/>
  <c r="AD28" i="8"/>
  <c r="AE28" i="8"/>
  <c r="AF28" i="8"/>
  <c r="C29"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AE29" i="8"/>
  <c r="AF29" i="8"/>
  <c r="C30"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C31"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C32" i="8"/>
  <c r="D32" i="8"/>
  <c r="E32" i="8"/>
  <c r="F32" i="8"/>
  <c r="G32" i="8"/>
  <c r="H32" i="8"/>
  <c r="I32" i="8"/>
  <c r="J32" i="8"/>
  <c r="K32" i="8"/>
  <c r="L32" i="8"/>
  <c r="M32" i="8"/>
  <c r="N32" i="8"/>
  <c r="O32" i="8"/>
  <c r="P32" i="8"/>
  <c r="Q32" i="8"/>
  <c r="R32" i="8"/>
  <c r="S32" i="8"/>
  <c r="T32" i="8"/>
  <c r="U32" i="8"/>
  <c r="V32" i="8"/>
  <c r="W32" i="8"/>
  <c r="X32" i="8"/>
  <c r="Y32" i="8"/>
  <c r="Z32" i="8"/>
  <c r="AA32" i="8"/>
  <c r="AB32" i="8"/>
  <c r="AC32" i="8"/>
  <c r="AD32" i="8"/>
  <c r="AE32" i="8"/>
  <c r="AF32" i="8"/>
  <c r="C33" i="8"/>
  <c r="D33" i="8"/>
  <c r="E33" i="8"/>
  <c r="F33" i="8"/>
  <c r="G33" i="8"/>
  <c r="H33" i="8"/>
  <c r="I33" i="8"/>
  <c r="J33" i="8"/>
  <c r="K33" i="8"/>
  <c r="L33" i="8"/>
  <c r="M33" i="8"/>
  <c r="N33" i="8"/>
  <c r="O33" i="8"/>
  <c r="P33" i="8"/>
  <c r="Q33" i="8"/>
  <c r="R33" i="8"/>
  <c r="S33" i="8"/>
  <c r="T33" i="8"/>
  <c r="U33" i="8"/>
  <c r="V33" i="8"/>
  <c r="W33" i="8"/>
  <c r="X33" i="8"/>
  <c r="Y33" i="8"/>
  <c r="Z33" i="8"/>
  <c r="AA33" i="8"/>
  <c r="AB33" i="8"/>
  <c r="AC33" i="8"/>
  <c r="AD33" i="8"/>
  <c r="AE33" i="8"/>
  <c r="AF33" i="8"/>
  <c r="K43" i="1" l="1"/>
  <c r="K20" i="1"/>
  <c r="D12" i="1"/>
  <c r="J14" i="1"/>
  <c r="K10" i="1"/>
  <c r="D4" i="1"/>
  <c r="J12" i="1"/>
  <c r="J9" i="1"/>
  <c r="F10" i="1" s="1"/>
  <c r="J8" i="1"/>
  <c r="J11" i="1" l="1"/>
  <c r="F14" i="1" s="1"/>
  <c r="C6" i="1"/>
  <c r="F8" i="1"/>
  <c r="AO44" i="8" l="1"/>
  <c r="AO45" i="8"/>
  <c r="AO46" i="8"/>
  <c r="AO47" i="8"/>
  <c r="AO48" i="8"/>
  <c r="AO49" i="8"/>
  <c r="AO50" i="8"/>
  <c r="AO51" i="8"/>
  <c r="AO52" i="8"/>
  <c r="AO53" i="8"/>
  <c r="AO54" i="8"/>
  <c r="AO55" i="8"/>
  <c r="AO56" i="8"/>
  <c r="AO57" i="8"/>
  <c r="AO58" i="8"/>
  <c r="AO59" i="8"/>
  <c r="AO60" i="8"/>
  <c r="AO61" i="8"/>
  <c r="AO62" i="8"/>
  <c r="AO63" i="8"/>
  <c r="AO64" i="8"/>
  <c r="AO65" i="8"/>
  <c r="AO66" i="8"/>
  <c r="AO67" i="8"/>
  <c r="AO68" i="8"/>
  <c r="AO69" i="8"/>
  <c r="AO70" i="8"/>
  <c r="AO43" i="8"/>
  <c r="AP7" i="8"/>
  <c r="AP9" i="8"/>
  <c r="AP12" i="8"/>
  <c r="AP13" i="8"/>
  <c r="AP14" i="8"/>
  <c r="AP15" i="8"/>
  <c r="AP16" i="8"/>
  <c r="AP18" i="8"/>
  <c r="AP20" i="8"/>
  <c r="AP22" i="8"/>
  <c r="AP23" i="8"/>
  <c r="AP24" i="8"/>
  <c r="AP25" i="8"/>
  <c r="AP26" i="8"/>
  <c r="AP27" i="8"/>
  <c r="AP28" i="8"/>
  <c r="AP29" i="8"/>
  <c r="AP30" i="8"/>
  <c r="AP31" i="8"/>
  <c r="AP32" i="8"/>
  <c r="AP33" i="8"/>
  <c r="N7" i="10" l="1"/>
  <c r="N3" i="10" l="1"/>
  <c r="AQ45" i="8"/>
  <c r="AR45" i="8" s="1"/>
  <c r="AP45" i="8" s="1"/>
  <c r="AQ46" i="8"/>
  <c r="AR46" i="8" s="1"/>
  <c r="AP46" i="8" s="1"/>
  <c r="AQ47" i="8"/>
  <c r="AR47" i="8" s="1"/>
  <c r="AP47" i="8" s="1"/>
  <c r="AQ48" i="8"/>
  <c r="AR48" i="8" s="1"/>
  <c r="AP48" i="8" s="1"/>
  <c r="AQ49" i="8"/>
  <c r="AR49" i="8" s="1"/>
  <c r="AP49" i="8" s="1"/>
  <c r="AQ50" i="8"/>
  <c r="AR50" i="8" s="1"/>
  <c r="AP50" i="8" s="1"/>
  <c r="AQ51" i="8"/>
  <c r="AR51" i="8" s="1"/>
  <c r="AP51" i="8" s="1"/>
  <c r="AQ52" i="8"/>
  <c r="AR52" i="8" s="1"/>
  <c r="AP52" i="8" s="1"/>
  <c r="AQ53" i="8"/>
  <c r="AR53" i="8" s="1"/>
  <c r="AP53" i="8" s="1"/>
  <c r="AQ54" i="8"/>
  <c r="AQ55" i="8"/>
  <c r="AR55" i="8" s="1"/>
  <c r="AP55" i="8" s="1"/>
  <c r="AQ56" i="8"/>
  <c r="AR56" i="8" s="1"/>
  <c r="AP56" i="8" s="1"/>
  <c r="AQ57" i="8"/>
  <c r="AR57" i="8" s="1"/>
  <c r="AP57" i="8" s="1"/>
  <c r="AQ58" i="8"/>
  <c r="AR58" i="8" s="1"/>
  <c r="AP58" i="8" s="1"/>
  <c r="AQ59" i="8"/>
  <c r="AR59" i="8" s="1"/>
  <c r="AP59" i="8" s="1"/>
  <c r="AQ60" i="8"/>
  <c r="AR60" i="8" s="1"/>
  <c r="AP60" i="8" s="1"/>
  <c r="AQ61" i="8"/>
  <c r="AR61" i="8" s="1"/>
  <c r="AP61" i="8" s="1"/>
  <c r="AQ62" i="8"/>
  <c r="AR62" i="8" s="1"/>
  <c r="AP62" i="8" s="1"/>
  <c r="AQ63" i="8"/>
  <c r="AR63" i="8" s="1"/>
  <c r="AP63" i="8" s="1"/>
  <c r="AQ64" i="8"/>
  <c r="AR64" i="8" s="1"/>
  <c r="AP64" i="8" s="1"/>
  <c r="AQ65" i="8"/>
  <c r="AR65" i="8" s="1"/>
  <c r="AP65" i="8" s="1"/>
  <c r="AQ66" i="8"/>
  <c r="AR66" i="8" s="1"/>
  <c r="AP66" i="8" s="1"/>
  <c r="AQ67" i="8"/>
  <c r="AR67" i="8" s="1"/>
  <c r="AP67" i="8" s="1"/>
  <c r="AQ68" i="8"/>
  <c r="AR68" i="8" s="1"/>
  <c r="AP68" i="8" s="1"/>
  <c r="AQ69" i="8"/>
  <c r="AR69" i="8" s="1"/>
  <c r="AP69" i="8" s="1"/>
  <c r="AQ70" i="8"/>
  <c r="AR70" i="8" s="1"/>
  <c r="AP70" i="8" s="1"/>
  <c r="AQ43" i="8"/>
  <c r="AR43" i="8" s="1"/>
  <c r="AP43" i="8" s="1"/>
  <c r="AJ70" i="8"/>
  <c r="AK70" i="8" s="1"/>
  <c r="AL70" i="8" s="1"/>
  <c r="AM70" i="8" s="1"/>
  <c r="AI70" i="8"/>
  <c r="AJ69" i="8"/>
  <c r="AK69" i="8" s="1"/>
  <c r="AL69" i="8" s="1"/>
  <c r="AM69" i="8" s="1"/>
  <c r="AI69" i="8"/>
  <c r="AJ68" i="8"/>
  <c r="AK68" i="8" s="1"/>
  <c r="AL68" i="8" s="1"/>
  <c r="AM68" i="8" s="1"/>
  <c r="AI68" i="8"/>
  <c r="AJ67" i="8"/>
  <c r="AK67" i="8" s="1"/>
  <c r="AL67" i="8" s="1"/>
  <c r="AM67" i="8" s="1"/>
  <c r="AI67" i="8"/>
  <c r="AK66" i="8"/>
  <c r="AL66" i="8" s="1"/>
  <c r="AM66" i="8" s="1"/>
  <c r="AJ66" i="8"/>
  <c r="AI66" i="8"/>
  <c r="AJ65" i="8"/>
  <c r="AK65" i="8" s="1"/>
  <c r="AL65" i="8" s="1"/>
  <c r="AM65" i="8" s="1"/>
  <c r="AI65" i="8"/>
  <c r="AJ64" i="8"/>
  <c r="AK64" i="8" s="1"/>
  <c r="AL64" i="8" s="1"/>
  <c r="AM64" i="8" s="1"/>
  <c r="AI64" i="8"/>
  <c r="AJ63" i="8"/>
  <c r="AK63" i="8" s="1"/>
  <c r="AL63" i="8" s="1"/>
  <c r="AM63" i="8" s="1"/>
  <c r="AI63" i="8"/>
  <c r="AJ62" i="8"/>
  <c r="AK62" i="8" s="1"/>
  <c r="AL62" i="8" s="1"/>
  <c r="AM62" i="8" s="1"/>
  <c r="AI62" i="8"/>
  <c r="AJ61" i="8"/>
  <c r="AK61" i="8" s="1"/>
  <c r="AL61" i="8" s="1"/>
  <c r="AM61" i="8" s="1"/>
  <c r="AI61" i="8"/>
  <c r="AJ60" i="8"/>
  <c r="AK60" i="8" s="1"/>
  <c r="AL60" i="8" s="1"/>
  <c r="AM60" i="8" s="1"/>
  <c r="AI60" i="8"/>
  <c r="AJ59" i="8"/>
  <c r="AK59" i="8" s="1"/>
  <c r="AL59" i="8" s="1"/>
  <c r="AM59" i="8" s="1"/>
  <c r="AI59" i="8"/>
  <c r="AJ58" i="8"/>
  <c r="AK58" i="8" s="1"/>
  <c r="AL58" i="8" s="1"/>
  <c r="AM58" i="8" s="1"/>
  <c r="AI58" i="8"/>
  <c r="AJ57" i="8"/>
  <c r="AK57" i="8" s="1"/>
  <c r="AL57" i="8" s="1"/>
  <c r="AM57" i="8" s="1"/>
  <c r="AI57" i="8"/>
  <c r="AJ56" i="8"/>
  <c r="AK56" i="8" s="1"/>
  <c r="AL56" i="8" s="1"/>
  <c r="AM56" i="8" s="1"/>
  <c r="AI56" i="8"/>
  <c r="AJ55" i="8"/>
  <c r="AK55" i="8" s="1"/>
  <c r="AL55" i="8" s="1"/>
  <c r="AM55" i="8" s="1"/>
  <c r="AI55" i="8"/>
  <c r="AJ54" i="8"/>
  <c r="AK54" i="8" s="1"/>
  <c r="AL54" i="8" s="1"/>
  <c r="AM54" i="8" s="1"/>
  <c r="AI54" i="8"/>
  <c r="AJ53" i="8"/>
  <c r="AK53" i="8" s="1"/>
  <c r="AL53" i="8" s="1"/>
  <c r="AM53" i="8" s="1"/>
  <c r="AI53" i="8"/>
  <c r="AJ52" i="8"/>
  <c r="AK52" i="8" s="1"/>
  <c r="AL52" i="8" s="1"/>
  <c r="AM52" i="8" s="1"/>
  <c r="AI52" i="8"/>
  <c r="AJ51" i="8"/>
  <c r="AK51" i="8" s="1"/>
  <c r="AL51" i="8" s="1"/>
  <c r="AM51" i="8" s="1"/>
  <c r="AI51" i="8"/>
  <c r="AJ50" i="8"/>
  <c r="AK50" i="8" s="1"/>
  <c r="AL50" i="8" s="1"/>
  <c r="AM50" i="8" s="1"/>
  <c r="AI50" i="8"/>
  <c r="AJ49" i="8"/>
  <c r="AK49" i="8" s="1"/>
  <c r="AL49" i="8" s="1"/>
  <c r="AM49" i="8" s="1"/>
  <c r="AI49" i="8"/>
  <c r="AJ48" i="8"/>
  <c r="AK48" i="8" s="1"/>
  <c r="AL48" i="8" s="1"/>
  <c r="AM48" i="8" s="1"/>
  <c r="AI48" i="8"/>
  <c r="AJ47" i="8"/>
  <c r="AK47" i="8" s="1"/>
  <c r="AL47" i="8" s="1"/>
  <c r="AM47" i="8" s="1"/>
  <c r="AI47" i="8"/>
  <c r="AJ46" i="8"/>
  <c r="AK46" i="8" s="1"/>
  <c r="AL46" i="8" s="1"/>
  <c r="AM46" i="8" s="1"/>
  <c r="AI46" i="8"/>
  <c r="AJ45" i="8"/>
  <c r="AK45" i="8" s="1"/>
  <c r="AL45" i="8" s="1"/>
  <c r="AM45" i="8" s="1"/>
  <c r="AI45" i="8"/>
  <c r="AJ44" i="8"/>
  <c r="AK44" i="8" s="1"/>
  <c r="AL44" i="8" s="1"/>
  <c r="AM44" i="8" s="1"/>
  <c r="AI44" i="8"/>
  <c r="AJ43" i="8"/>
  <c r="AK43" i="8" s="1"/>
  <c r="AL43" i="8" s="1"/>
  <c r="AM43" i="8" s="1"/>
  <c r="AI43" i="8"/>
  <c r="AR54" i="8" l="1"/>
  <c r="AP54" i="8" s="1"/>
  <c r="AQ72" i="8"/>
  <c r="L7" i="10" s="1"/>
  <c r="M7" i="10" s="1"/>
  <c r="AQ44" i="8"/>
  <c r="AR44" i="8" s="1"/>
  <c r="AP44" i="8" s="1"/>
  <c r="AP72" i="8" l="1"/>
  <c r="L3" i="10" s="1"/>
  <c r="M3" i="10" l="1"/>
  <c r="F3" i="10"/>
  <c r="F4" i="10"/>
  <c r="F5" i="10"/>
  <c r="G5" i="10" s="1"/>
  <c r="F6" i="10"/>
  <c r="F7" i="10"/>
  <c r="G7" i="10" s="1"/>
  <c r="F8" i="10"/>
  <c r="F9" i="10"/>
  <c r="F10" i="10"/>
  <c r="G10" i="10" s="1"/>
  <c r="F11" i="10"/>
  <c r="F12" i="10"/>
  <c r="F13" i="10"/>
  <c r="F14" i="10"/>
  <c r="F15" i="10"/>
  <c r="G15" i="10" s="1"/>
  <c r="F16" i="10"/>
  <c r="F17" i="10"/>
  <c r="F18" i="10"/>
  <c r="G18" i="10" s="1"/>
  <c r="F19" i="10"/>
  <c r="F20" i="10"/>
  <c r="F21" i="10"/>
  <c r="F22" i="10"/>
  <c r="F23" i="10"/>
  <c r="G23" i="10" s="1"/>
  <c r="F24" i="10"/>
  <c r="F25" i="10"/>
  <c r="F26" i="10"/>
  <c r="G26" i="10" s="1"/>
  <c r="F27" i="10"/>
  <c r="F28" i="10"/>
  <c r="F29" i="10"/>
  <c r="F30" i="10"/>
  <c r="F31" i="10"/>
  <c r="G31" i="10" s="1"/>
  <c r="F32" i="10"/>
  <c r="F33" i="10"/>
  <c r="F34" i="10"/>
  <c r="G34" i="10" s="1"/>
  <c r="F35" i="10"/>
  <c r="F36" i="10"/>
  <c r="F37" i="10"/>
  <c r="F38" i="10"/>
  <c r="F39" i="10"/>
  <c r="G39" i="10" s="1"/>
  <c r="F40" i="10"/>
  <c r="F41" i="10"/>
  <c r="F42" i="10"/>
  <c r="G42" i="10" s="1"/>
  <c r="F43" i="10"/>
  <c r="F44" i="10"/>
  <c r="F45" i="10"/>
  <c r="F46" i="10"/>
  <c r="F47" i="10"/>
  <c r="G47" i="10" s="1"/>
  <c r="F48" i="10"/>
  <c r="F49" i="10"/>
  <c r="F50" i="10"/>
  <c r="G50" i="10" s="1"/>
  <c r="F51" i="10"/>
  <c r="F52" i="10"/>
  <c r="F53" i="10"/>
  <c r="F54" i="10"/>
  <c r="F55" i="10"/>
  <c r="G55" i="10" s="1"/>
  <c r="F56" i="10"/>
  <c r="F57" i="10"/>
  <c r="F58" i="10"/>
  <c r="G58" i="10" s="1"/>
  <c r="F59" i="10"/>
  <c r="F60" i="10"/>
  <c r="F61" i="10"/>
  <c r="F62" i="10"/>
  <c r="F63" i="10"/>
  <c r="G63" i="10" s="1"/>
  <c r="F64" i="10"/>
  <c r="F65" i="10"/>
  <c r="F66" i="10"/>
  <c r="G66" i="10" s="1"/>
  <c r="F67" i="10"/>
  <c r="F68" i="10"/>
  <c r="F69" i="10"/>
  <c r="F70" i="10"/>
  <c r="F71" i="10"/>
  <c r="G71" i="10" s="1"/>
  <c r="F72" i="10"/>
  <c r="F73" i="10"/>
  <c r="F74" i="10"/>
  <c r="G74" i="10" s="1"/>
  <c r="F75" i="10"/>
  <c r="F76" i="10"/>
  <c r="F77" i="10"/>
  <c r="F78" i="10"/>
  <c r="F79" i="10"/>
  <c r="G79" i="10" s="1"/>
  <c r="F80" i="10"/>
  <c r="F81" i="10"/>
  <c r="F82" i="10"/>
  <c r="G82" i="10" s="1"/>
  <c r="G4" i="10"/>
  <c r="G6" i="10"/>
  <c r="G8" i="10"/>
  <c r="G9" i="10"/>
  <c r="G11" i="10"/>
  <c r="G12" i="10"/>
  <c r="G13" i="10"/>
  <c r="G14" i="10"/>
  <c r="G16" i="10"/>
  <c r="G17" i="10"/>
  <c r="G19" i="10"/>
  <c r="G20" i="10"/>
  <c r="G21" i="10"/>
  <c r="G22" i="10"/>
  <c r="G24" i="10"/>
  <c r="G25" i="10"/>
  <c r="G27" i="10"/>
  <c r="G28" i="10"/>
  <c r="G29" i="10"/>
  <c r="G30" i="10"/>
  <c r="G32" i="10"/>
  <c r="G33" i="10"/>
  <c r="G35" i="10"/>
  <c r="G36" i="10"/>
  <c r="G37" i="10"/>
  <c r="G38" i="10"/>
  <c r="G40" i="10"/>
  <c r="G41" i="10"/>
  <c r="G43" i="10"/>
  <c r="G44" i="10"/>
  <c r="G45" i="10"/>
  <c r="G46" i="10"/>
  <c r="G48" i="10"/>
  <c r="G49" i="10"/>
  <c r="G51" i="10"/>
  <c r="G52" i="10"/>
  <c r="G53" i="10"/>
  <c r="G54" i="10"/>
  <c r="G56" i="10"/>
  <c r="G57" i="10"/>
  <c r="G59" i="10"/>
  <c r="G60" i="10"/>
  <c r="G61" i="10"/>
  <c r="G62" i="10"/>
  <c r="G64" i="10"/>
  <c r="G65" i="10"/>
  <c r="G67" i="10"/>
  <c r="G68" i="10"/>
  <c r="G69" i="10"/>
  <c r="G70" i="10"/>
  <c r="G72" i="10"/>
  <c r="G73" i="10"/>
  <c r="G75" i="10"/>
  <c r="G76" i="10"/>
  <c r="G77" i="10"/>
  <c r="G78" i="10"/>
  <c r="G80" i="10"/>
  <c r="G81" i="10"/>
  <c r="G3" i="10"/>
  <c r="C47" i="1" l="1"/>
  <c r="C46" i="1"/>
  <c r="F6" i="1" l="1"/>
  <c r="G36" i="1" l="1"/>
  <c r="G34" i="1"/>
  <c r="D45" i="1"/>
  <c r="C44" i="1" s="1"/>
  <c r="J47" i="1"/>
  <c r="J46" i="1"/>
  <c r="F12" i="1"/>
  <c r="C12" i="1"/>
  <c r="G43" i="1" l="1"/>
  <c r="AO7" i="8"/>
  <c r="AO8" i="8"/>
  <c r="AO9" i="8"/>
  <c r="AO11" i="8"/>
  <c r="AO14" i="8"/>
  <c r="AO16" i="8"/>
  <c r="AO19" i="8"/>
  <c r="AO20" i="8"/>
  <c r="AO21" i="8"/>
  <c r="AO22" i="8"/>
  <c r="AO23" i="8"/>
  <c r="AO24" i="8"/>
  <c r="AO25" i="8"/>
  <c r="AO26" i="8"/>
  <c r="AO27" i="8"/>
  <c r="AO28" i="8"/>
  <c r="AO29" i="8"/>
  <c r="AO30" i="8"/>
  <c r="AO31" i="8"/>
  <c r="AO32" i="8"/>
  <c r="AO33" i="8"/>
  <c r="AO6" i="8"/>
  <c r="J6" i="8" l="1"/>
  <c r="K6" i="8"/>
  <c r="L6" i="8"/>
  <c r="M6" i="8"/>
  <c r="N6" i="8"/>
  <c r="O6" i="8"/>
  <c r="P6" i="8"/>
  <c r="Q6" i="8"/>
  <c r="R6" i="8"/>
  <c r="S6" i="8"/>
  <c r="T6" i="8"/>
  <c r="U6" i="8"/>
  <c r="V6" i="8"/>
  <c r="W6" i="8"/>
  <c r="X6" i="8"/>
  <c r="Y6" i="8"/>
  <c r="Z6" i="8"/>
  <c r="AA6" i="8"/>
  <c r="AB6" i="8"/>
  <c r="AC6" i="8"/>
  <c r="AD6" i="8"/>
  <c r="AE6" i="8"/>
  <c r="AF6" i="8"/>
  <c r="D6" i="8"/>
  <c r="E6" i="8"/>
  <c r="F6" i="8"/>
  <c r="AJ6" i="8" s="1"/>
  <c r="AU6" i="8" s="1"/>
  <c r="G6" i="8"/>
  <c r="H6" i="8"/>
  <c r="I6" i="8"/>
  <c r="AI7" i="8"/>
  <c r="AT7" i="8" s="1"/>
  <c r="AI8" i="8"/>
  <c r="AT8" i="8" s="1"/>
  <c r="AI9" i="8"/>
  <c r="AT9" i="8" s="1"/>
  <c r="AI11" i="8"/>
  <c r="AT11" i="8" s="1"/>
  <c r="AI13" i="8"/>
  <c r="AT13" i="8" s="1"/>
  <c r="AI14" i="8"/>
  <c r="AT14" i="8" s="1"/>
  <c r="AI15" i="8"/>
  <c r="AT15" i="8" s="1"/>
  <c r="AI16" i="8"/>
  <c r="AT16" i="8" s="1"/>
  <c r="AI17" i="8"/>
  <c r="AT17" i="8" s="1"/>
  <c r="AI19" i="8"/>
  <c r="AT19" i="8" s="1"/>
  <c r="AI20" i="8"/>
  <c r="AT20" i="8" s="1"/>
  <c r="AI21" i="8"/>
  <c r="AT21" i="8" s="1"/>
  <c r="AI22" i="8"/>
  <c r="AT22" i="8" s="1"/>
  <c r="AI23" i="8"/>
  <c r="AT23" i="8" s="1"/>
  <c r="AI24" i="8"/>
  <c r="AT24" i="8" s="1"/>
  <c r="AI25" i="8"/>
  <c r="AT25" i="8" s="1"/>
  <c r="AI26" i="8"/>
  <c r="AT26" i="8" s="1"/>
  <c r="AI27" i="8"/>
  <c r="AT27" i="8" s="1"/>
  <c r="AI28" i="8"/>
  <c r="AT28" i="8" s="1"/>
  <c r="AI29" i="8"/>
  <c r="AT29" i="8" s="1"/>
  <c r="AI30" i="8"/>
  <c r="AT30" i="8" s="1"/>
  <c r="AI31" i="8"/>
  <c r="AT31" i="8" s="1"/>
  <c r="AI32" i="8"/>
  <c r="AT32" i="8" s="1"/>
  <c r="AI33" i="8"/>
  <c r="AT33" i="8" s="1"/>
  <c r="C6" i="8"/>
  <c r="AI6" i="8" s="1"/>
  <c r="AT6" i="8" s="1"/>
  <c r="AJ33" i="8"/>
  <c r="AU33" i="8" s="1"/>
  <c r="AJ32" i="8"/>
  <c r="AU32" i="8" s="1"/>
  <c r="AJ31" i="8"/>
  <c r="AU31" i="8" s="1"/>
  <c r="AJ30" i="8"/>
  <c r="AU30" i="8" s="1"/>
  <c r="AJ29" i="8"/>
  <c r="AU29" i="8" s="1"/>
  <c r="AJ28" i="8"/>
  <c r="AU28" i="8" s="1"/>
  <c r="AJ27" i="8"/>
  <c r="AU27" i="8" s="1"/>
  <c r="AJ26" i="8"/>
  <c r="AU26" i="8" s="1"/>
  <c r="AJ25" i="8"/>
  <c r="AU25" i="8" s="1"/>
  <c r="AJ24" i="8"/>
  <c r="AU24" i="8" s="1"/>
  <c r="AJ23" i="8"/>
  <c r="AU23" i="8" s="1"/>
  <c r="AJ22" i="8"/>
  <c r="AU22" i="8" s="1"/>
  <c r="AJ21" i="8"/>
  <c r="AU21" i="8" s="1"/>
  <c r="AJ20" i="8"/>
  <c r="AU20" i="8" s="1"/>
  <c r="AJ19" i="8"/>
  <c r="AU19" i="8" s="1"/>
  <c r="AJ18" i="8"/>
  <c r="AU18" i="8" s="1"/>
  <c r="AI18" i="8"/>
  <c r="AT18" i="8" s="1"/>
  <c r="AJ17" i="8"/>
  <c r="AU17" i="8" s="1"/>
  <c r="AJ16" i="8"/>
  <c r="AU16" i="8" s="1"/>
  <c r="AJ15" i="8"/>
  <c r="AU15" i="8" s="1"/>
  <c r="AJ14" i="8"/>
  <c r="AU14" i="8" s="1"/>
  <c r="AJ13" i="8"/>
  <c r="AU13" i="8" s="1"/>
  <c r="AJ12" i="8"/>
  <c r="AU12" i="8" s="1"/>
  <c r="AI12" i="8"/>
  <c r="AT12" i="8" s="1"/>
  <c r="AJ11" i="8"/>
  <c r="AU11" i="8" s="1"/>
  <c r="AJ10" i="8"/>
  <c r="AU10" i="8" s="1"/>
  <c r="AI10" i="8"/>
  <c r="AT10" i="8" s="1"/>
  <c r="AJ9" i="8"/>
  <c r="AU9" i="8" s="1"/>
  <c r="AJ8" i="8"/>
  <c r="AU8" i="8" s="1"/>
  <c r="AJ7" i="8"/>
  <c r="AU7" i="8" s="1"/>
  <c r="AK10" i="8" l="1"/>
  <c r="AK29" i="8"/>
  <c r="AK19" i="8"/>
  <c r="AK6" i="8"/>
  <c r="AK20" i="8"/>
  <c r="AK11" i="8"/>
  <c r="AK16" i="8"/>
  <c r="AK7" i="8"/>
  <c r="AK21" i="8"/>
  <c r="AK26" i="8"/>
  <c r="AK31" i="8"/>
  <c r="AK8" i="8"/>
  <c r="AK12" i="8"/>
  <c r="AK17" i="8"/>
  <c r="AK22" i="8"/>
  <c r="AK32" i="8"/>
  <c r="AK30" i="8"/>
  <c r="AK9" i="8"/>
  <c r="AK13" i="8"/>
  <c r="AK18" i="8"/>
  <c r="AK23" i="8"/>
  <c r="AK28" i="8"/>
  <c r="AK33" i="8"/>
  <c r="AK15" i="8"/>
  <c r="AK25" i="8"/>
  <c r="AK27" i="8"/>
  <c r="AK14" i="8"/>
  <c r="AK24" i="8"/>
  <c r="AL6" i="8" l="1"/>
  <c r="AV6" i="8"/>
  <c r="AL32" i="8"/>
  <c r="AV32" i="8"/>
  <c r="AL7" i="8"/>
  <c r="AV7" i="8"/>
  <c r="AL28" i="8"/>
  <c r="AV28" i="8"/>
  <c r="AL23" i="8"/>
  <c r="AV23" i="8"/>
  <c r="AL24" i="8"/>
  <c r="AV24" i="8"/>
  <c r="AL8" i="8"/>
  <c r="AV8" i="8"/>
  <c r="AL33" i="8"/>
  <c r="AV33" i="8"/>
  <c r="AL11" i="8"/>
  <c r="AV11" i="8"/>
  <c r="AL19" i="8"/>
  <c r="AV19" i="8"/>
  <c r="AL15" i="8"/>
  <c r="AV15" i="8"/>
  <c r="AL16" i="8"/>
  <c r="AV16" i="8"/>
  <c r="AL20" i="8"/>
  <c r="AV20" i="8"/>
  <c r="AL14" i="8"/>
  <c r="AV14" i="8"/>
  <c r="AL9" i="8"/>
  <c r="AV9" i="8"/>
  <c r="AL29" i="8"/>
  <c r="AV29" i="8"/>
  <c r="AL22" i="8"/>
  <c r="AV22" i="8"/>
  <c r="AL17" i="8"/>
  <c r="AV17" i="8"/>
  <c r="AL12" i="8"/>
  <c r="AV12" i="8"/>
  <c r="AL18" i="8"/>
  <c r="AV18" i="8"/>
  <c r="AL13" i="8"/>
  <c r="AV13" i="8"/>
  <c r="AL31" i="8"/>
  <c r="AV31" i="8"/>
  <c r="AL27" i="8"/>
  <c r="AV27" i="8"/>
  <c r="AL26" i="8"/>
  <c r="AV26" i="8"/>
  <c r="AL25" i="8"/>
  <c r="AV25" i="8"/>
  <c r="AL30" i="8"/>
  <c r="AV30" i="8"/>
  <c r="AL21" i="8"/>
  <c r="AV21" i="8"/>
  <c r="AL10" i="8"/>
  <c r="AV10" i="8"/>
  <c r="AO15" i="8"/>
  <c r="AM10" i="8" l="1"/>
  <c r="AX10" i="8" s="1"/>
  <c r="AW10" i="8"/>
  <c r="AM26" i="8"/>
  <c r="AX26" i="8" s="1"/>
  <c r="AW26" i="8"/>
  <c r="AM18" i="8"/>
  <c r="AX18" i="8" s="1"/>
  <c r="AW18" i="8"/>
  <c r="AM29" i="8"/>
  <c r="AX29" i="8" s="1"/>
  <c r="AW29" i="8"/>
  <c r="AM16" i="8"/>
  <c r="AX16" i="8" s="1"/>
  <c r="AW16" i="8"/>
  <c r="AM33" i="8"/>
  <c r="AX33" i="8" s="1"/>
  <c r="AW33" i="8"/>
  <c r="AM28" i="8"/>
  <c r="AX28" i="8" s="1"/>
  <c r="AW28" i="8"/>
  <c r="AM12" i="8"/>
  <c r="AX12" i="8" s="1"/>
  <c r="AW12" i="8"/>
  <c r="AM8" i="8"/>
  <c r="AX8" i="8" s="1"/>
  <c r="AW8" i="8"/>
  <c r="AM30" i="8"/>
  <c r="AX30" i="8" s="1"/>
  <c r="AW30" i="8"/>
  <c r="AM14" i="8"/>
  <c r="AX14" i="8" s="1"/>
  <c r="AW14" i="8"/>
  <c r="AM24" i="8"/>
  <c r="AX24" i="8" s="1"/>
  <c r="AW24" i="8"/>
  <c r="AM32" i="8"/>
  <c r="AX32" i="8" s="1"/>
  <c r="AW32" i="8"/>
  <c r="AM27" i="8"/>
  <c r="AX27" i="8" s="1"/>
  <c r="AW27" i="8"/>
  <c r="AM9" i="8"/>
  <c r="AX9" i="8" s="1"/>
  <c r="AW9" i="8"/>
  <c r="AM7" i="8"/>
  <c r="AX7" i="8" s="1"/>
  <c r="AW7" i="8"/>
  <c r="AM31" i="8"/>
  <c r="AX31" i="8" s="1"/>
  <c r="AW31" i="8"/>
  <c r="AM17" i="8"/>
  <c r="AX17" i="8" s="1"/>
  <c r="AW17" i="8"/>
  <c r="AM19" i="8"/>
  <c r="AX19" i="8" s="1"/>
  <c r="AW19" i="8"/>
  <c r="AM21" i="8"/>
  <c r="AX21" i="8" s="1"/>
  <c r="AW21" i="8"/>
  <c r="AM15" i="8"/>
  <c r="AX15" i="8" s="1"/>
  <c r="AW15" i="8"/>
  <c r="AM25" i="8"/>
  <c r="AX25" i="8" s="1"/>
  <c r="AW25" i="8"/>
  <c r="AM13" i="8"/>
  <c r="AX13" i="8" s="1"/>
  <c r="AW13" i="8"/>
  <c r="AM22" i="8"/>
  <c r="AX22" i="8" s="1"/>
  <c r="AW22" i="8"/>
  <c r="AM20" i="8"/>
  <c r="AX20" i="8" s="1"/>
  <c r="AW20" i="8"/>
  <c r="AM11" i="8"/>
  <c r="AX11" i="8" s="1"/>
  <c r="AW11" i="8"/>
  <c r="AM23" i="8"/>
  <c r="AX23" i="8" s="1"/>
  <c r="AW23" i="8"/>
  <c r="AM6" i="8"/>
  <c r="AX6" i="8" s="1"/>
  <c r="AW6" i="8"/>
  <c r="AO17" i="8"/>
  <c r="D30" i="1" s="1"/>
  <c r="F30" i="1" s="1"/>
  <c r="AO18" i="8"/>
  <c r="AO13" i="8"/>
  <c r="AO10" i="8"/>
  <c r="AO12" i="8"/>
  <c r="E30" i="6" l="1"/>
  <c r="D37" i="1" l="1"/>
  <c r="B2" i="2" l="1"/>
  <c r="C2" i="2"/>
  <c r="D2" i="2"/>
  <c r="B67" i="2"/>
  <c r="C67" i="2"/>
  <c r="D67" i="2"/>
  <c r="B68" i="2"/>
  <c r="C68" i="2"/>
  <c r="D68" i="2"/>
  <c r="B69" i="2"/>
  <c r="C69" i="2"/>
  <c r="D69" i="2"/>
  <c r="B70" i="2"/>
  <c r="C70" i="2"/>
  <c r="D70" i="2"/>
  <c r="D66" i="2"/>
  <c r="C66" i="2"/>
  <c r="B66" i="2"/>
  <c r="B61" i="2"/>
  <c r="C61" i="2"/>
  <c r="D61" i="2"/>
  <c r="B62" i="2"/>
  <c r="C62" i="2"/>
  <c r="D62" i="2"/>
  <c r="B63" i="2"/>
  <c r="C63" i="2"/>
  <c r="D63" i="2"/>
  <c r="B64" i="2"/>
  <c r="C64" i="2"/>
  <c r="D64" i="2"/>
  <c r="B65" i="2"/>
  <c r="C65" i="2"/>
  <c r="D65" i="2"/>
  <c r="D60" i="2"/>
  <c r="C60" i="2"/>
  <c r="B60" i="2"/>
  <c r="B56" i="2"/>
  <c r="C56" i="2"/>
  <c r="D56" i="2"/>
  <c r="B57" i="2"/>
  <c r="C57" i="2"/>
  <c r="D57" i="2"/>
  <c r="B58" i="2"/>
  <c r="C58" i="2"/>
  <c r="D58" i="2"/>
  <c r="B59" i="2"/>
  <c r="C59" i="2"/>
  <c r="D59" i="2"/>
  <c r="D55" i="2"/>
  <c r="C55" i="2"/>
  <c r="B55" i="2"/>
  <c r="B51" i="2"/>
  <c r="C51" i="2"/>
  <c r="D51" i="2"/>
  <c r="B52" i="2"/>
  <c r="C52" i="2"/>
  <c r="D52" i="2"/>
  <c r="B53" i="2"/>
  <c r="C53" i="2"/>
  <c r="D53" i="2"/>
  <c r="B54" i="2"/>
  <c r="C54" i="2"/>
  <c r="D54" i="2"/>
  <c r="D50" i="2"/>
  <c r="C50" i="2"/>
  <c r="B50" i="2"/>
  <c r="B46" i="2"/>
  <c r="C46" i="2"/>
  <c r="D46" i="2"/>
  <c r="B47" i="2"/>
  <c r="C47" i="2"/>
  <c r="D47" i="2"/>
  <c r="B48" i="2"/>
  <c r="C48" i="2"/>
  <c r="D48" i="2"/>
  <c r="B49" i="2"/>
  <c r="C49" i="2"/>
  <c r="D49" i="2"/>
  <c r="D45" i="2"/>
  <c r="C45" i="2"/>
  <c r="B45" i="2"/>
  <c r="B41" i="2"/>
  <c r="C41" i="2"/>
  <c r="D41" i="2"/>
  <c r="B42" i="2"/>
  <c r="C42" i="2"/>
  <c r="D42" i="2"/>
  <c r="B43" i="2"/>
  <c r="C43" i="2"/>
  <c r="D43" i="2"/>
  <c r="B44" i="2"/>
  <c r="C44" i="2"/>
  <c r="D44" i="2"/>
  <c r="D40" i="2"/>
  <c r="C40" i="2"/>
  <c r="B40" i="2"/>
  <c r="B36" i="2"/>
  <c r="C36" i="2"/>
  <c r="D36" i="2"/>
  <c r="B37" i="2"/>
  <c r="C37" i="2"/>
  <c r="D37" i="2"/>
  <c r="B38" i="2"/>
  <c r="C38" i="2"/>
  <c r="D38" i="2"/>
  <c r="B39" i="2"/>
  <c r="C39" i="2"/>
  <c r="D39" i="2"/>
  <c r="D35" i="2"/>
  <c r="C35" i="2"/>
  <c r="B35" i="2"/>
  <c r="B31" i="2"/>
  <c r="C31" i="2"/>
  <c r="D31" i="2"/>
  <c r="B32" i="2"/>
  <c r="C32" i="2"/>
  <c r="D32" i="2"/>
  <c r="B33" i="2"/>
  <c r="C33" i="2"/>
  <c r="D33" i="2"/>
  <c r="B34" i="2"/>
  <c r="C34" i="2"/>
  <c r="D34" i="2"/>
  <c r="D30" i="2"/>
  <c r="C30" i="2"/>
  <c r="B30" i="2"/>
  <c r="B26" i="2"/>
  <c r="C26" i="2"/>
  <c r="D26" i="2"/>
  <c r="B27" i="2"/>
  <c r="C27" i="2"/>
  <c r="D27" i="2"/>
  <c r="B28" i="2"/>
  <c r="C28" i="2"/>
  <c r="D28" i="2"/>
  <c r="B29" i="2"/>
  <c r="C29" i="2"/>
  <c r="D29" i="2"/>
  <c r="D25" i="2"/>
  <c r="C25" i="2"/>
  <c r="B25" i="2"/>
  <c r="B4" i="2"/>
  <c r="C4" i="2"/>
  <c r="D4" i="2"/>
  <c r="B5" i="2"/>
  <c r="C5" i="2"/>
  <c r="D5" i="2"/>
  <c r="B6" i="2"/>
  <c r="C6" i="2"/>
  <c r="D6" i="2"/>
  <c r="B7" i="2"/>
  <c r="C7" i="2"/>
  <c r="D7" i="2"/>
  <c r="B8" i="2"/>
  <c r="C8" i="2"/>
  <c r="D8" i="2"/>
  <c r="B9" i="2"/>
  <c r="C9" i="2"/>
  <c r="D9" i="2"/>
  <c r="B10" i="2"/>
  <c r="C10" i="2"/>
  <c r="D10" i="2"/>
  <c r="B11" i="2"/>
  <c r="C11" i="2"/>
  <c r="D11" i="2"/>
  <c r="B12" i="2"/>
  <c r="C12" i="2"/>
  <c r="D12" i="2"/>
  <c r="B13" i="2"/>
  <c r="C13" i="2"/>
  <c r="D13" i="2"/>
  <c r="B14" i="2"/>
  <c r="C14" i="2"/>
  <c r="D14" i="2"/>
  <c r="B15" i="2"/>
  <c r="C15" i="2"/>
  <c r="D15" i="2"/>
  <c r="B16" i="2"/>
  <c r="C16" i="2"/>
  <c r="D16" i="2"/>
  <c r="B17" i="2"/>
  <c r="C17" i="2"/>
  <c r="D17" i="2"/>
  <c r="B18" i="2"/>
  <c r="C18" i="2"/>
  <c r="D18" i="2"/>
  <c r="B19" i="2"/>
  <c r="C19" i="2"/>
  <c r="D19" i="2"/>
  <c r="B20" i="2"/>
  <c r="C20" i="2"/>
  <c r="D20" i="2"/>
  <c r="B21" i="2"/>
  <c r="C21" i="2"/>
  <c r="D21" i="2"/>
  <c r="B22" i="2"/>
  <c r="C22" i="2"/>
  <c r="D22" i="2"/>
  <c r="B23" i="2"/>
  <c r="C23" i="2"/>
  <c r="D23" i="2"/>
  <c r="B24" i="2"/>
  <c r="C24" i="2"/>
  <c r="D24" i="2"/>
  <c r="D3" i="2"/>
  <c r="C3" i="2"/>
  <c r="B3" i="2"/>
  <c r="C34" i="6"/>
  <c r="C35" i="6"/>
  <c r="E35" i="6"/>
  <c r="H6" i="1"/>
  <c r="I31" i="6" l="1"/>
  <c r="J31" i="6"/>
  <c r="H4" i="1"/>
  <c r="K44" i="1"/>
  <c r="G44" i="1" s="1"/>
  <c r="B34" i="6"/>
  <c r="H5" i="6" s="1"/>
  <c r="H12" i="1"/>
  <c r="D36" i="1" s="1"/>
  <c r="F40" i="1" l="1"/>
  <c r="F39" i="1"/>
  <c r="I30" i="6"/>
  <c r="J30" i="6"/>
  <c r="F38" i="1"/>
  <c r="K31" i="6"/>
  <c r="I5" i="6"/>
  <c r="H3" i="6"/>
  <c r="I3" i="6" s="1"/>
  <c r="H4" i="6"/>
  <c r="G41" i="1"/>
  <c r="D39" i="1" l="1"/>
  <c r="D40" i="1"/>
  <c r="K30" i="6"/>
  <c r="D43" i="1" s="1"/>
  <c r="D38" i="1"/>
  <c r="J5" i="6"/>
  <c r="I4" i="6"/>
  <c r="J4" i="6" s="1"/>
  <c r="F35" i="1"/>
  <c r="D35" i="1" s="1"/>
  <c r="F34" i="1"/>
  <c r="D34" i="1" s="1"/>
  <c r="F33" i="1"/>
  <c r="D33" i="1" s="1"/>
  <c r="F45" i="1" l="1"/>
  <c r="D44" i="1" s="1"/>
  <c r="D46" i="1" s="1"/>
  <c r="B72" i="2" l="1"/>
  <c r="C72" i="2"/>
  <c r="D72" i="2"/>
  <c r="B73" i="2"/>
  <c r="C73" i="2"/>
  <c r="D73" i="2"/>
  <c r="B74" i="2"/>
  <c r="C74" i="2"/>
  <c r="D74" i="2"/>
  <c r="B75" i="2"/>
  <c r="C75" i="2"/>
  <c r="D75" i="2"/>
  <c r="B76" i="2"/>
  <c r="C76" i="2"/>
  <c r="D76" i="2"/>
  <c r="B77" i="2"/>
  <c r="C77" i="2"/>
  <c r="D77" i="2"/>
  <c r="B78" i="2"/>
  <c r="C78" i="2"/>
  <c r="D78" i="2"/>
  <c r="B79" i="2"/>
  <c r="C79" i="2"/>
  <c r="D79" i="2"/>
  <c r="B80" i="2"/>
  <c r="C80" i="2"/>
  <c r="D80" i="2"/>
  <c r="B81" i="2"/>
  <c r="C81" i="2"/>
  <c r="D81" i="2"/>
  <c r="B82" i="2"/>
  <c r="C82" i="2"/>
  <c r="D82" i="2"/>
  <c r="B83" i="2"/>
  <c r="C83" i="2"/>
  <c r="D83" i="2"/>
  <c r="B84" i="2"/>
  <c r="C84" i="2"/>
  <c r="D84" i="2"/>
  <c r="B85" i="2"/>
  <c r="C85" i="2"/>
  <c r="D85" i="2"/>
  <c r="B86" i="2"/>
  <c r="C86" i="2"/>
  <c r="D86" i="2"/>
  <c r="B87" i="2"/>
  <c r="C87" i="2"/>
  <c r="D87" i="2"/>
  <c r="B88" i="2"/>
  <c r="C88" i="2"/>
  <c r="D88" i="2"/>
  <c r="B89" i="2"/>
  <c r="C89" i="2"/>
  <c r="D89" i="2"/>
  <c r="B90" i="2"/>
  <c r="C90" i="2"/>
  <c r="D90" i="2"/>
  <c r="B91" i="2"/>
  <c r="C91" i="2"/>
  <c r="D91" i="2"/>
  <c r="B92" i="2"/>
  <c r="C92" i="2"/>
  <c r="D92" i="2"/>
  <c r="B93" i="2"/>
  <c r="C93" i="2"/>
  <c r="D93" i="2"/>
  <c r="B94" i="2"/>
  <c r="C94" i="2"/>
  <c r="D94" i="2"/>
  <c r="B95" i="2"/>
  <c r="C95" i="2"/>
  <c r="D95" i="2"/>
  <c r="B96" i="2"/>
  <c r="C96" i="2"/>
  <c r="D96" i="2"/>
  <c r="B97" i="2"/>
  <c r="C97" i="2"/>
  <c r="D97" i="2"/>
  <c r="B98" i="2"/>
  <c r="C98" i="2"/>
  <c r="D98" i="2"/>
  <c r="B99" i="2"/>
  <c r="C99" i="2"/>
  <c r="D99" i="2"/>
  <c r="B100" i="2"/>
  <c r="C100" i="2"/>
  <c r="D100" i="2"/>
  <c r="C71" i="2"/>
  <c r="D71" i="2"/>
  <c r="B71" i="2"/>
  <c r="D41" i="1" l="1"/>
  <c r="F11" i="2"/>
  <c r="F8" i="2"/>
  <c r="D47" i="1" l="1"/>
  <c r="AP8" i="8" l="1"/>
  <c r="AP10" i="8" l="1"/>
  <c r="AP19" i="8"/>
  <c r="AP11" i="8"/>
  <c r="AP21" i="8"/>
  <c r="AP17" i="8"/>
  <c r="AP6" i="8"/>
</calcChain>
</file>

<file path=xl/comments1.xml><?xml version="1.0" encoding="utf-8"?>
<comments xmlns="http://schemas.openxmlformats.org/spreadsheetml/2006/main">
  <authors>
    <author>Weber, Thomas FKD</author>
  </authors>
  <commentList>
    <comment ref="D30" authorId="0" shapeId="0">
      <text>
        <r>
          <rPr>
            <b/>
            <sz val="9"/>
            <color indexed="81"/>
            <rFont val="Segoe UI"/>
            <family val="2"/>
          </rPr>
          <t>Weber, Thomas FKD:</t>
        </r>
        <r>
          <rPr>
            <sz val="9"/>
            <color indexed="81"/>
            <rFont val="Segoe UI"/>
            <family val="2"/>
          </rPr>
          <t xml:space="preserve">
Mindesteinkommen für Anspruch auf Familienzulagen</t>
        </r>
      </text>
    </comment>
  </commentList>
</comments>
</file>

<file path=xl/sharedStrings.xml><?xml version="1.0" encoding="utf-8"?>
<sst xmlns="http://schemas.openxmlformats.org/spreadsheetml/2006/main" count="546" uniqueCount="214">
  <si>
    <t>Abzüge</t>
  </si>
  <si>
    <t>Max.</t>
  </si>
  <si>
    <t>unbegrenzt</t>
  </si>
  <si>
    <t>Arbeitslosenversicherung</t>
  </si>
  <si>
    <t>2. Säule (Pensionskasse)</t>
  </si>
  <si>
    <t>Anteil Mitarbeitende</t>
  </si>
  <si>
    <t>Max. AHV-Rente</t>
  </si>
  <si>
    <t>Max.UVG</t>
  </si>
  <si>
    <t>Max.ALV</t>
  </si>
  <si>
    <t>C</t>
  </si>
  <si>
    <t>B</t>
  </si>
  <si>
    <t>Y</t>
  </si>
  <si>
    <t>Z</t>
  </si>
  <si>
    <t>E</t>
  </si>
  <si>
    <t>F</t>
  </si>
  <si>
    <t>G</t>
  </si>
  <si>
    <t>H</t>
  </si>
  <si>
    <t>I</t>
  </si>
  <si>
    <t>J</t>
  </si>
  <si>
    <t>K</t>
  </si>
  <si>
    <t>L</t>
  </si>
  <si>
    <t>M</t>
  </si>
  <si>
    <t>N</t>
  </si>
  <si>
    <t>O</t>
  </si>
  <si>
    <t>P</t>
  </si>
  <si>
    <t>Q</t>
  </si>
  <si>
    <t>R</t>
  </si>
  <si>
    <t>S</t>
  </si>
  <si>
    <t>T</t>
  </si>
  <si>
    <t>U</t>
  </si>
  <si>
    <t>V</t>
  </si>
  <si>
    <t>W</t>
  </si>
  <si>
    <t>X</t>
  </si>
  <si>
    <t>D</t>
  </si>
  <si>
    <t>Dekret</t>
  </si>
  <si>
    <t>Wichtige Hinweise</t>
  </si>
  <si>
    <t>ALV 1</t>
  </si>
  <si>
    <t>ALV 2</t>
  </si>
  <si>
    <t xml:space="preserve">Sparplan Pensionskasse </t>
  </si>
  <si>
    <t>Sparen Plus</t>
  </si>
  <si>
    <t>Sparen Standard</t>
  </si>
  <si>
    <t>Sparen Minus</t>
  </si>
  <si>
    <t>Der Koordinationsabzug entspricht 1/3 des Gesamtverdienstes, höchstens jedoch einer maximalen vollen AHV-Altersrente. Dieser maximale Abzug wird entsprechend dem Beschäftigungsgrad herabgesetzt.</t>
  </si>
  <si>
    <t>Alter</t>
  </si>
  <si>
    <t>Arbeitslosenversicherung (Solidaritätsbeitrag)</t>
  </si>
  <si>
    <t>Geburtsdatum (tt.mm.jjjj)</t>
  </si>
  <si>
    <t>Prozent</t>
  </si>
  <si>
    <t>AHV/IV/EO</t>
  </si>
  <si>
    <t>1. Säule (Alters- und Hinterlassen- sowie Invalidenversicherung, EO)</t>
  </si>
  <si>
    <t>UVG (NBU)</t>
  </si>
  <si>
    <t>Zulagen für Schicht-, Nacht-, Sonntags- und Feiertagsdienste und andere Inkonvenienzen sind nicht berücksichtigt.</t>
  </si>
  <si>
    <t>Bezeichnungen neu Lohnband | Erfahrungswert</t>
  </si>
  <si>
    <t>Total</t>
  </si>
  <si>
    <t>AHV</t>
  </si>
  <si>
    <t>ALV</t>
  </si>
  <si>
    <t>ALV Solidar</t>
  </si>
  <si>
    <t>BLPK Sparbeitrag</t>
  </si>
  <si>
    <t>BLPK Risikobeitrag</t>
  </si>
  <si>
    <t>BLPK Verw.kostenbeitr. AN</t>
  </si>
  <si>
    <t>BLPK</t>
  </si>
  <si>
    <t>Risikobeitrag</t>
  </si>
  <si>
    <t>Verw.kostenbei</t>
  </si>
  <si>
    <t>Koordinationsabzug</t>
  </si>
  <si>
    <t>Alter AN</t>
  </si>
  <si>
    <t>Jahr heute / AN</t>
  </si>
  <si>
    <t>Alter nach Jahr</t>
  </si>
  <si>
    <t>Alter nach GD</t>
  </si>
  <si>
    <t>-</t>
  </si>
  <si>
    <t>Wahlmöglichkeiten Sparbeiträge</t>
  </si>
  <si>
    <t>Nichtberufsunfallversicherung</t>
  </si>
  <si>
    <t>keine</t>
  </si>
  <si>
    <t>Variante 1</t>
  </si>
  <si>
    <t>Variante 2</t>
  </si>
  <si>
    <t>Variante 3</t>
  </si>
  <si>
    <t>Zusatz Variante 1</t>
  </si>
  <si>
    <t>Zusatz Variante 2</t>
  </si>
  <si>
    <t>Zusatz Variante 3</t>
  </si>
  <si>
    <t>freiwillige Ergänzung (UVG)</t>
  </si>
  <si>
    <t>freiwillige Zusatzversicherung zu UVG</t>
  </si>
  <si>
    <t>bitte wählen</t>
  </si>
  <si>
    <t>Eintrittsschwelle</t>
  </si>
  <si>
    <t>Ansatz</t>
  </si>
  <si>
    <t>Freibetrag &lt;65/64</t>
  </si>
  <si>
    <t>Fereibetrag &gt;65</t>
  </si>
  <si>
    <t>Risokoversichert</t>
  </si>
  <si>
    <t>Sparbeiträge</t>
  </si>
  <si>
    <t>bis</t>
  </si>
  <si>
    <t>ab</t>
  </si>
  <si>
    <t>Rentenalter Frau</t>
  </si>
  <si>
    <t>Rentenalter Mann</t>
  </si>
  <si>
    <t>Zusatz Variante 4</t>
  </si>
  <si>
    <t>Variante 4</t>
  </si>
  <si>
    <t>Geschlecht</t>
  </si>
  <si>
    <t>männlich</t>
  </si>
  <si>
    <t>weiblich</t>
  </si>
  <si>
    <t>Satz berechnet</t>
  </si>
  <si>
    <t>Erziehungszulagen</t>
  </si>
  <si>
    <t>Sozialleistungen</t>
  </si>
  <si>
    <t>Familien- Erziehungszulagen</t>
  </si>
  <si>
    <t>Kinderzulage</t>
  </si>
  <si>
    <t>Ausbildungszulage</t>
  </si>
  <si>
    <t>Anzahl Kinder (nicht in Ausbildung)</t>
  </si>
  <si>
    <t>Anspruch und Anspruchskonkurrenz</t>
  </si>
  <si>
    <t xml:space="preserve">* nicht in Ausbidung und bis Vollendung 16. Altersjahr </t>
  </si>
  <si>
    <t>* in Ausbildung bis Ende Ausbildung, längstens jedoch bis Vollendung 25. Altersjahr</t>
  </si>
  <si>
    <t>Anzahl Kinder (in Ausbildung)</t>
  </si>
  <si>
    <t>* falls vorhanden hier Variante der freiwilligen Unfall-Zusatzversicherung wählen</t>
  </si>
  <si>
    <t>Der Arbeitgeber bezahlt mind. nochmals die Beiträge (Sozialleistungen und Pensionskasse) in gleicher Höhe wie die Mitarbeitenden.</t>
  </si>
  <si>
    <t>Anspruch Frau</t>
  </si>
  <si>
    <t>Anspruch Mann</t>
  </si>
  <si>
    <t>Anspruch</t>
  </si>
  <si>
    <t>&gt;=65 / 64</t>
  </si>
  <si>
    <t>&lt; 65 / 64</t>
  </si>
  <si>
    <t>Lohnband</t>
  </si>
  <si>
    <t>* optionale Angabe für Erfahrungswertberechnung (Quartil)</t>
  </si>
  <si>
    <t>Stand:</t>
  </si>
  <si>
    <t xml:space="preserve">Erfahrungswert </t>
  </si>
  <si>
    <t xml:space="preserve">Startpunkte Quartile </t>
  </si>
  <si>
    <t>A</t>
  </si>
  <si>
    <t>"0"-Quartil</t>
  </si>
  <si>
    <t>1. Quartil</t>
  </si>
  <si>
    <t>2. Quartil</t>
  </si>
  <si>
    <t>3. Quartil</t>
  </si>
  <si>
    <t>4. Quartil</t>
  </si>
  <si>
    <t>Teuerung</t>
  </si>
  <si>
    <t>Reallohnerhöhung</t>
  </si>
  <si>
    <t xml:space="preserve">Quartil </t>
  </si>
  <si>
    <t>Total Sozialleistungen / Abzüge</t>
  </si>
  <si>
    <t>Versicherter Verdienst Pensionskasse</t>
  </si>
  <si>
    <t>Familienzulagen</t>
  </si>
  <si>
    <t>Kinderzulagen</t>
  </si>
  <si>
    <t>Ausbildungszulagen</t>
  </si>
  <si>
    <t>* inkl. Familien- und Erziehungszulagen</t>
  </si>
  <si>
    <t>Verw.kostenbeitrag min/max im Jahr</t>
  </si>
  <si>
    <t>Risikobeitrag ab 65</t>
  </si>
  <si>
    <t>Bruttolohn pro Jahr</t>
  </si>
  <si>
    <t>Bruttolohn pro Monat</t>
  </si>
  <si>
    <t>Bruttolohn pro Monat (100%)</t>
  </si>
  <si>
    <t>Bruttolohn pro Jahr (100%)</t>
  </si>
  <si>
    <t>zukünftiger Bruttolohn pro Monat</t>
  </si>
  <si>
    <t>zukünftiger Bruttolohn pro Jahr</t>
  </si>
  <si>
    <t>Beschäftigungsgrad in %</t>
  </si>
  <si>
    <t>Nettolohn pro Monat</t>
  </si>
  <si>
    <t>Nettolohn pro Jahr</t>
  </si>
  <si>
    <t>* falls nichts Spezielles vereinbart bitte "Sparen Standard" wählen</t>
  </si>
  <si>
    <t>beziehen Sie persönliche Zulagen?</t>
  </si>
  <si>
    <t>ja</t>
  </si>
  <si>
    <t>nein</t>
  </si>
  <si>
    <t>Ihr Lohnband</t>
  </si>
  <si>
    <t>Matrizen</t>
  </si>
  <si>
    <t>A: Finanz- und Kirchendirektion</t>
  </si>
  <si>
    <t>B: Volkswirtschafts- und Gesundheitsdirektion</t>
  </si>
  <si>
    <t>C: Bau- und Umweltschutzdirektion</t>
  </si>
  <si>
    <t>D: Sicherheitsdirektion</t>
  </si>
  <si>
    <t>E: Bildungs-, Kultur- und Sportdirektion</t>
  </si>
  <si>
    <t>F: Kindergarten- und Primarschulen</t>
  </si>
  <si>
    <t>G: Musikschulen</t>
  </si>
  <si>
    <t>H: Sekundarstufe 1</t>
  </si>
  <si>
    <t>I: Berufsbildende Schulen</t>
  </si>
  <si>
    <t>J: Gymnasien</t>
  </si>
  <si>
    <t>K: Landeskanzlei</t>
  </si>
  <si>
    <t>L: Ombudsmann</t>
  </si>
  <si>
    <t>M: Aufsichtsstelle Datenschutz</t>
  </si>
  <si>
    <t>N: Finanzkontrolle</t>
  </si>
  <si>
    <t>O: Staatsanwaltschaft</t>
  </si>
  <si>
    <t>P: Gerichte</t>
  </si>
  <si>
    <t>Jahr</t>
  </si>
  <si>
    <t>Matrix ID</t>
  </si>
  <si>
    <t>Quartil</t>
  </si>
  <si>
    <t>00</t>
  </si>
  <si>
    <t>01</t>
  </si>
  <si>
    <t>02</t>
  </si>
  <si>
    <t>03</t>
  </si>
  <si>
    <t>04</t>
  </si>
  <si>
    <t>Matrix</t>
  </si>
  <si>
    <t>Matrix
Hilhsspalte</t>
  </si>
  <si>
    <t>A+</t>
  </si>
  <si>
    <t>Lohnrechner</t>
  </si>
  <si>
    <t>Lohnentwicklung</t>
  </si>
  <si>
    <t>Matrix EW</t>
  </si>
  <si>
    <t>Bereich</t>
  </si>
  <si>
    <t>Matrix AN</t>
  </si>
  <si>
    <t>Ansatz
Erhöhung</t>
  </si>
  <si>
    <t>keine Bewertung</t>
  </si>
  <si>
    <t>Prädikat AN</t>
  </si>
  <si>
    <t>Berechnung A+</t>
  </si>
  <si>
    <t>Matrix Code A+</t>
  </si>
  <si>
    <t>Matrix Code A</t>
  </si>
  <si>
    <t>Berechnung A, B, NA</t>
  </si>
  <si>
    <t>Prädikat</t>
  </si>
  <si>
    <t>zukünftiger Beschäftigungsgrad in %</t>
  </si>
  <si>
    <t>0. Quartil</t>
  </si>
  <si>
    <t>Überprüfung Anstieg</t>
  </si>
  <si>
    <t xml:space="preserve">Die Abzüge für Steuern und Quellensteuern werden nicht berücksichtigt. </t>
  </si>
  <si>
    <t>Sonderfälle wie Jugendliche, Nebenverdienst, Rentnerinnen und Rentner sind nicht berücksichtigt.</t>
  </si>
  <si>
    <t>Ein Anspruch auf Kinder- / Ausbildungszulagen besteht nur, wenn er von der SVA Basel-Landschaft gutgeheissen wird.</t>
  </si>
  <si>
    <t>Pensum</t>
  </si>
  <si>
    <t>Der Anspruch auf Erziehungszulagen kann pro Kind und Haushalt nur einmalig geltend gemacht werden. Richtet ein anderer Arbeitgeber eine der gleichen Zielsetzung dienende Zulage für dieselben Kinder und denselben Haushalt aus, die geringer ist als die Erziehungszulage des Kantons Basel-Landschaft, wird dieser Betrag vom Anspruch der bzw. des Mitarbeitenden abgezogen.</t>
  </si>
  <si>
    <t>Es handelt sich um eine unverbindliche Berechnung bei einer ganzjährigen Anstellung (max. Betrag ALV und UVG)</t>
  </si>
  <si>
    <t>max Beitrag p. Jahr</t>
  </si>
  <si>
    <t>max Beitrag p. Monat</t>
  </si>
  <si>
    <t>Mindesteinkom-</t>
  </si>
  <si>
    <t>men für den An-</t>
  </si>
  <si>
    <t>spruch auf Fam-</t>
  </si>
  <si>
    <t>ilienzulagen</t>
  </si>
  <si>
    <t>pro Jahr</t>
  </si>
  <si>
    <t>Version 1.2 (Mai 23)</t>
  </si>
  <si>
    <t>Relase Notes ab 01.01.2023</t>
  </si>
  <si>
    <t>- Maximeinkommen pro Monat für ALV und NBU angepasst (CHF 12350.-/p. Mt)</t>
  </si>
  <si>
    <t>- Mindesteinkommen für Anspruch auf Familienzulagen angepasst (CHF 7350.-/ p. J)</t>
  </si>
  <si>
    <t>Lohnschlüssel Monatslohn</t>
  </si>
  <si>
    <t>Lohnschlüssel Monatslohn (Vorjahr)</t>
  </si>
  <si>
    <t>Version</t>
  </si>
  <si>
    <t>V_4.0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</si>
</sst>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CHF&quot;\ * #,##0.00_ ;_ &quot;CHF&quot;\ * \-#,##0.00_ ;_ &quot;CHF&quot;\ * &quot;-&quot;??_ ;_ @_ "/>
    <numFmt numFmtId="43" formatCode="_ * #,##0.00_ ;_ * \-#,##0.00_ ;_ * &quot;-&quot;??_ ;_ @_ "/>
    <numFmt numFmtId="164" formatCode="_(* #,##0.00_);_(* \(#,##0.00\);_(* &quot;-&quot;??_);_(@_)"/>
    <numFmt numFmtId="165" formatCode="dd/mm/yyyy;@"/>
    <numFmt numFmtId="166" formatCode="0.000%"/>
    <numFmt numFmtId="167" formatCode="0.0000%"/>
    <numFmt numFmtId="168" formatCode="#,##0.000"/>
  </numFmts>
  <fonts count="41" x14ac:knownFonts="1">
    <font>
      <sz val="11"/>
      <name val="Arial"/>
    </font>
    <font>
      <sz val="11"/>
      <name val="Arial"/>
      <family val="2"/>
    </font>
    <font>
      <sz val="8"/>
      <name val="Arial"/>
      <family val="2"/>
    </font>
    <font>
      <b/>
      <sz val="11"/>
      <name val="Arial"/>
      <family val="2"/>
    </font>
    <font>
      <sz val="1"/>
      <color indexed="22"/>
      <name val="Arial"/>
      <family val="2"/>
    </font>
    <font>
      <u/>
      <sz val="11"/>
      <color indexed="12"/>
      <name val="Arial"/>
      <family val="2"/>
    </font>
    <font>
      <sz val="11"/>
      <color indexed="9"/>
      <name val="Arial"/>
      <family val="2"/>
    </font>
    <font>
      <b/>
      <sz val="14"/>
      <name val="Arial"/>
      <family val="2"/>
    </font>
    <font>
      <sz val="11"/>
      <name val="Arial"/>
      <family val="2"/>
    </font>
    <font>
      <sz val="11"/>
      <color rgb="FFFF0000"/>
      <name val="Arial"/>
      <family val="2"/>
    </font>
    <font>
      <sz val="11"/>
      <color theme="4"/>
      <name val="Arial"/>
      <family val="2"/>
    </font>
    <font>
      <sz val="11"/>
      <color theme="0" tint="-0.249977111117893"/>
      <name val="Arial"/>
      <family val="2"/>
    </font>
    <font>
      <b/>
      <u/>
      <sz val="11"/>
      <name val="Arial"/>
      <family val="2"/>
    </font>
    <font>
      <sz val="8"/>
      <color theme="0" tint="-0.249977111117893"/>
      <name val="Arial"/>
      <family val="2"/>
    </font>
    <font>
      <sz val="8"/>
      <color indexed="12"/>
      <name val="Arial"/>
      <family val="2"/>
    </font>
    <font>
      <u/>
      <sz val="8"/>
      <color indexed="12"/>
      <name val="Arial"/>
      <family val="2"/>
    </font>
    <font>
      <b/>
      <sz val="8"/>
      <name val="Arial"/>
      <family val="2"/>
    </font>
    <font>
      <b/>
      <sz val="9"/>
      <name val="Arial"/>
      <family val="2"/>
    </font>
    <font>
      <sz val="9"/>
      <name val="Arial"/>
      <family val="2"/>
    </font>
    <font>
      <sz val="9"/>
      <color theme="0" tint="-0.249977111117893"/>
      <name val="Arial"/>
      <family val="2"/>
    </font>
    <font>
      <sz val="10"/>
      <name val="Arial"/>
      <family val="2"/>
    </font>
    <font>
      <b/>
      <sz val="12"/>
      <name val="Arial"/>
      <family val="2"/>
    </font>
    <font>
      <b/>
      <sz val="10"/>
      <name val="Arial"/>
      <family val="2"/>
    </font>
    <font>
      <sz val="11"/>
      <color theme="0"/>
      <name val="Arial"/>
      <family val="2"/>
    </font>
    <font>
      <sz val="9"/>
      <color rgb="FFFF0000"/>
      <name val="Arial"/>
      <family val="2"/>
    </font>
    <font>
      <sz val="11"/>
      <color rgb="FF006100"/>
      <name val="Calibri"/>
      <family val="2"/>
      <scheme val="minor"/>
    </font>
    <font>
      <i/>
      <sz val="9"/>
      <name val="Arial"/>
      <family val="2"/>
    </font>
    <font>
      <i/>
      <sz val="9"/>
      <color theme="0"/>
      <name val="Arial"/>
      <family val="2"/>
    </font>
    <font>
      <sz val="11"/>
      <color theme="1"/>
      <name val="Arial"/>
      <family val="2"/>
    </font>
    <font>
      <b/>
      <sz val="9"/>
      <color theme="0"/>
      <name val="Arial"/>
      <family val="2"/>
    </font>
    <font>
      <sz val="9"/>
      <color theme="0"/>
      <name val="Arial"/>
      <family val="2"/>
    </font>
    <font>
      <sz val="8"/>
      <color theme="0"/>
      <name val="Arial"/>
      <family val="2"/>
    </font>
    <font>
      <i/>
      <sz val="9"/>
      <color rgb="FFFF0000"/>
      <name val="Arial"/>
      <family val="2"/>
    </font>
    <font>
      <b/>
      <u/>
      <sz val="9"/>
      <name val="Arial"/>
      <family val="2"/>
    </font>
    <font>
      <b/>
      <sz val="8"/>
      <color theme="4"/>
      <name val="Arial"/>
      <family val="2"/>
    </font>
    <font>
      <b/>
      <sz val="9"/>
      <color rgb="FFFF0000"/>
      <name val="Arial"/>
      <family val="2"/>
    </font>
    <font>
      <sz val="9"/>
      <color indexed="81"/>
      <name val="Segoe UI"/>
      <family val="2"/>
    </font>
    <font>
      <b/>
      <sz val="9"/>
      <color indexed="81"/>
      <name val="Segoe UI"/>
      <family val="2"/>
    </font>
    <font>
      <b/>
      <sz val="11"/>
      <name val="MS sans serif"/>
    </font>
    <font>
      <sz val="11"/>
      <name val="MS sans serif"/>
    </font>
    <font>
      <i/>
      <sz val="8"/>
      <name val="Arial"/>
      <family val="2"/>
    </font>
  </fonts>
  <fills count="3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6" tint="0.79998168889431442"/>
        <bgColor indexed="64"/>
      </patternFill>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rgb="FFCCFF99"/>
        <bgColor indexed="64"/>
      </patternFill>
    </fill>
    <fill>
      <patternFill patternType="solid">
        <fgColor rgb="FF99CCFF"/>
        <bgColor indexed="64"/>
      </patternFill>
    </fill>
    <fill>
      <patternFill patternType="solid">
        <fgColor rgb="FFFFFF99"/>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C6EFCE"/>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thick">
        <color rgb="FFFF0000"/>
      </bottom>
      <diagonal/>
    </border>
  </borders>
  <cellStyleXfs count="8">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0" fontId="20" fillId="0" borderId="0"/>
    <xf numFmtId="9" fontId="20" fillId="0" borderId="0" applyFont="0" applyFill="0" applyBorder="0" applyAlignment="0" applyProtection="0"/>
    <xf numFmtId="0" fontId="25" fillId="18" borderId="0" applyNumberFormat="0" applyBorder="0" applyAlignment="0" applyProtection="0"/>
  </cellStyleXfs>
  <cellXfs count="496">
    <xf numFmtId="0" fontId="0" fillId="0" borderId="0" xfId="0"/>
    <xf numFmtId="0" fontId="0" fillId="2" borderId="0" xfId="0" applyFill="1" applyProtection="1">
      <protection hidden="1"/>
    </xf>
    <xf numFmtId="0" fontId="0" fillId="2" borderId="0" xfId="0" applyFill="1" applyAlignment="1" applyProtection="1">
      <alignment horizontal="right"/>
      <protection hidden="1"/>
    </xf>
    <xf numFmtId="10" fontId="0" fillId="2" borderId="0" xfId="0" applyNumberFormat="1" applyFill="1" applyProtection="1">
      <protection hidden="1"/>
    </xf>
    <xf numFmtId="3" fontId="0" fillId="2" borderId="0" xfId="0" applyNumberFormat="1" applyFill="1" applyProtection="1">
      <protection hidden="1"/>
    </xf>
    <xf numFmtId="0" fontId="6" fillId="0" borderId="0" xfId="0" applyFont="1"/>
    <xf numFmtId="0" fontId="8" fillId="0" borderId="0" xfId="0" applyFont="1"/>
    <xf numFmtId="0" fontId="9" fillId="0" borderId="0" xfId="0" applyFont="1"/>
    <xf numFmtId="10" fontId="9" fillId="3" borderId="0" xfId="3" applyNumberFormat="1" applyFont="1" applyFill="1"/>
    <xf numFmtId="0" fontId="9" fillId="3" borderId="0" xfId="0" applyFont="1" applyFill="1" applyAlignment="1">
      <alignment horizontal="left"/>
    </xf>
    <xf numFmtId="0" fontId="9" fillId="3" borderId="0" xfId="0" applyFont="1" applyFill="1"/>
    <xf numFmtId="10" fontId="9" fillId="0" borderId="0" xfId="0" applyNumberFormat="1" applyFont="1"/>
    <xf numFmtId="10" fontId="10" fillId="3" borderId="0" xfId="3" applyNumberFormat="1" applyFont="1" applyFill="1"/>
    <xf numFmtId="0" fontId="1" fillId="0" borderId="0" xfId="0" applyFont="1"/>
    <xf numFmtId="0" fontId="10" fillId="0" borderId="0" xfId="0" applyFont="1"/>
    <xf numFmtId="10" fontId="10" fillId="0" borderId="0" xfId="0" applyNumberFormat="1" applyFont="1"/>
    <xf numFmtId="0" fontId="1" fillId="2" borderId="0" xfId="0" applyFont="1" applyFill="1" applyProtection="1">
      <protection hidden="1"/>
    </xf>
    <xf numFmtId="0" fontId="10" fillId="2" borderId="0" xfId="0" applyFont="1" applyFill="1" applyProtection="1">
      <protection hidden="1"/>
    </xf>
    <xf numFmtId="2" fontId="10" fillId="2" borderId="0" xfId="0" applyNumberFormat="1" applyFont="1" applyFill="1" applyProtection="1">
      <protection hidden="1"/>
    </xf>
    <xf numFmtId="4" fontId="10" fillId="2" borderId="0" xfId="0" applyNumberFormat="1" applyFont="1" applyFill="1" applyProtection="1">
      <protection hidden="1"/>
    </xf>
    <xf numFmtId="43" fontId="10"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xf>
    <xf numFmtId="10" fontId="1" fillId="2" borderId="0" xfId="0" applyNumberFormat="1" applyFont="1" applyFill="1" applyProtection="1">
      <protection hidden="1"/>
    </xf>
    <xf numFmtId="10" fontId="8" fillId="0" borderId="0" xfId="0" applyNumberFormat="1" applyFont="1"/>
    <xf numFmtId="10" fontId="0" fillId="0" borderId="0" xfId="0" applyNumberFormat="1"/>
    <xf numFmtId="4" fontId="0" fillId="0" borderId="0" xfId="0" applyNumberFormat="1"/>
    <xf numFmtId="0" fontId="0" fillId="0" borderId="0" xfId="0" applyAlignment="1">
      <alignment horizontal="right"/>
    </xf>
    <xf numFmtId="10" fontId="1" fillId="3" borderId="0" xfId="3" applyNumberFormat="1" applyFont="1" applyFill="1"/>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0" borderId="2" xfId="0" applyFont="1" applyBorder="1" applyAlignment="1">
      <alignment horizontal="center"/>
    </xf>
    <xf numFmtId="10" fontId="1" fillId="0" borderId="1" xfId="0" applyNumberFormat="1" applyFont="1" applyBorder="1" applyAlignment="1">
      <alignment horizontal="center"/>
    </xf>
    <xf numFmtId="10" fontId="1" fillId="3" borderId="1" xfId="3" applyNumberFormat="1" applyFont="1" applyFill="1" applyBorder="1" applyAlignment="1">
      <alignment horizontal="center"/>
    </xf>
    <xf numFmtId="0" fontId="1" fillId="3" borderId="0" xfId="0" applyFont="1" applyFill="1"/>
    <xf numFmtId="0" fontId="1" fillId="0" borderId="0" xfId="0" applyFont="1" applyAlignment="1">
      <alignment horizontal="center"/>
    </xf>
    <xf numFmtId="1" fontId="0" fillId="0" borderId="0" xfId="0" applyNumberFormat="1"/>
    <xf numFmtId="4" fontId="1" fillId="0" borderId="0" xfId="0" applyNumberFormat="1" applyFont="1" applyFill="1" applyBorder="1" applyAlignment="1" applyProtection="1">
      <alignment horizontal="center" vertical="center"/>
      <protection hidden="1"/>
    </xf>
    <xf numFmtId="4" fontId="1" fillId="0" borderId="0" xfId="0" applyNumberFormat="1" applyFont="1"/>
    <xf numFmtId="0" fontId="3" fillId="0" borderId="0" xfId="0" applyFont="1" applyAlignment="1"/>
    <xf numFmtId="10" fontId="3" fillId="6" borderId="2" xfId="0" applyNumberFormat="1" applyFont="1" applyFill="1" applyBorder="1" applyAlignment="1">
      <alignment horizontal="center"/>
    </xf>
    <xf numFmtId="10" fontId="3" fillId="6" borderId="1" xfId="0" applyNumberFormat="1" applyFont="1" applyFill="1" applyBorder="1" applyAlignment="1">
      <alignment horizontal="center"/>
    </xf>
    <xf numFmtId="0" fontId="21" fillId="7" borderId="0" xfId="5" applyFont="1" applyFill="1" applyAlignment="1">
      <alignment horizontal="left"/>
    </xf>
    <xf numFmtId="0" fontId="22" fillId="7" borderId="0" xfId="5" applyFont="1" applyFill="1"/>
    <xf numFmtId="4" fontId="20" fillId="7" borderId="0" xfId="5" applyNumberFormat="1" applyFill="1"/>
    <xf numFmtId="0" fontId="20" fillId="7" borderId="0" xfId="5" applyFill="1"/>
    <xf numFmtId="0" fontId="22" fillId="7" borderId="0" xfId="5" applyFont="1" applyFill="1" applyAlignment="1">
      <alignment horizontal="left"/>
    </xf>
    <xf numFmtId="14" fontId="22" fillId="7" borderId="0" xfId="5" applyNumberFormat="1" applyFont="1" applyFill="1"/>
    <xf numFmtId="0" fontId="0" fillId="3" borderId="0" xfId="0" quotePrefix="1" applyFill="1" applyAlignment="1">
      <alignment vertical="center"/>
    </xf>
    <xf numFmtId="0" fontId="22" fillId="7" borderId="0" xfId="5" applyFont="1" applyFill="1" applyAlignment="1">
      <alignment horizontal="center"/>
    </xf>
    <xf numFmtId="0" fontId="22" fillId="4" borderId="1" xfId="5" applyFont="1" applyFill="1" applyBorder="1" applyAlignment="1">
      <alignment horizontal="center"/>
    </xf>
    <xf numFmtId="0" fontId="22" fillId="8" borderId="1" xfId="5" applyFont="1" applyFill="1" applyBorder="1" applyAlignment="1">
      <alignment horizontal="center"/>
    </xf>
    <xf numFmtId="4" fontId="22" fillId="8" borderId="5" xfId="5" applyNumberFormat="1" applyFont="1" applyFill="1" applyBorder="1" applyAlignment="1">
      <alignment horizontal="center"/>
    </xf>
    <xf numFmtId="1" fontId="22" fillId="9" borderId="1" xfId="6" applyNumberFormat="1" applyFont="1" applyFill="1" applyBorder="1" applyAlignment="1">
      <alignment horizontal="center"/>
    </xf>
    <xf numFmtId="0" fontId="20" fillId="9" borderId="1" xfId="5" applyFill="1" applyBorder="1"/>
    <xf numFmtId="4" fontId="20" fillId="9" borderId="1" xfId="5" applyNumberFormat="1" applyFill="1" applyBorder="1"/>
    <xf numFmtId="4" fontId="20" fillId="7" borderId="1" xfId="5" applyNumberFormat="1" applyFill="1" applyBorder="1"/>
    <xf numFmtId="4" fontId="20" fillId="10" borderId="1" xfId="5" applyNumberFormat="1" applyFill="1" applyBorder="1"/>
    <xf numFmtId="164" fontId="0" fillId="11" borderId="1" xfId="1" applyFont="1" applyFill="1" applyBorder="1" applyAlignment="1">
      <alignment vertical="center"/>
    </xf>
    <xf numFmtId="164" fontId="0" fillId="12" borderId="1" xfId="1" applyFont="1" applyFill="1" applyBorder="1" applyAlignment="1">
      <alignment vertical="center"/>
    </xf>
    <xf numFmtId="164" fontId="0" fillId="9" borderId="1" xfId="1" applyFont="1" applyFill="1" applyBorder="1" applyAlignment="1">
      <alignment vertical="center"/>
    </xf>
    <xf numFmtId="0" fontId="0" fillId="3" borderId="0" xfId="0" applyFill="1" applyAlignment="1">
      <alignment vertical="top"/>
    </xf>
    <xf numFmtId="0" fontId="22" fillId="3" borderId="0" xfId="0" quotePrefix="1" applyFont="1" applyFill="1" applyAlignment="1">
      <alignment vertical="center"/>
    </xf>
    <xf numFmtId="0" fontId="22" fillId="3" borderId="0" xfId="5" applyFont="1" applyFill="1" applyBorder="1"/>
    <xf numFmtId="0" fontId="20" fillId="3" borderId="0" xfId="5" applyFill="1" applyBorder="1"/>
    <xf numFmtId="4" fontId="3" fillId="0" borderId="0" xfId="0" applyNumberFormat="1" applyFont="1" applyFill="1" applyBorder="1"/>
    <xf numFmtId="0" fontId="3" fillId="0" borderId="0" xfId="0" applyFont="1" applyFill="1" applyBorder="1"/>
    <xf numFmtId="4" fontId="3" fillId="6" borderId="1" xfId="0" applyNumberFormat="1" applyFont="1" applyFill="1" applyBorder="1" applyProtection="1">
      <protection locked="0"/>
    </xf>
    <xf numFmtId="10" fontId="3" fillId="6" borderId="12" xfId="0" applyNumberFormat="1" applyFont="1" applyFill="1" applyBorder="1" applyProtection="1">
      <protection locked="0"/>
    </xf>
    <xf numFmtId="1" fontId="3" fillId="6" borderId="12" xfId="0" applyNumberFormat="1" applyFont="1" applyFill="1" applyBorder="1" applyProtection="1">
      <protection locked="0"/>
    </xf>
    <xf numFmtId="4" fontId="3" fillId="6" borderId="12" xfId="0" applyNumberFormat="1" applyFont="1" applyFill="1" applyBorder="1" applyProtection="1">
      <protection locked="0"/>
    </xf>
    <xf numFmtId="4" fontId="3" fillId="6" borderId="15" xfId="0" applyNumberFormat="1" applyFont="1" applyFill="1" applyBorder="1" applyProtection="1">
      <protection locked="0"/>
    </xf>
    <xf numFmtId="4" fontId="3" fillId="6" borderId="11" xfId="0" applyNumberFormat="1" applyFont="1" applyFill="1" applyBorder="1" applyProtection="1">
      <protection locked="0"/>
    </xf>
    <xf numFmtId="0" fontId="12" fillId="0" borderId="10" xfId="0" applyFont="1" applyFill="1" applyBorder="1" applyAlignment="1">
      <alignment horizontal="center"/>
    </xf>
    <xf numFmtId="1" fontId="3" fillId="6" borderId="15" xfId="0" applyNumberFormat="1" applyFont="1" applyFill="1" applyBorder="1" applyProtection="1">
      <protection locked="0"/>
    </xf>
    <xf numFmtId="0" fontId="0" fillId="0" borderId="18" xfId="0" applyBorder="1"/>
    <xf numFmtId="0" fontId="0" fillId="0" borderId="19" xfId="0" applyBorder="1"/>
    <xf numFmtId="2" fontId="3" fillId="6" borderId="13" xfId="0" applyNumberFormat="1" applyFont="1" applyFill="1" applyBorder="1" applyProtection="1">
      <protection locked="0"/>
    </xf>
    <xf numFmtId="2" fontId="3" fillId="6" borderId="15" xfId="0" applyNumberFormat="1" applyFont="1" applyFill="1" applyBorder="1" applyProtection="1">
      <protection locked="0"/>
    </xf>
    <xf numFmtId="0" fontId="1" fillId="0" borderId="20" xfId="0" applyFont="1" applyBorder="1"/>
    <xf numFmtId="0" fontId="3" fillId="6" borderId="21" xfId="0" applyFont="1" applyFill="1" applyBorder="1" applyProtection="1">
      <protection locked="0"/>
    </xf>
    <xf numFmtId="0" fontId="1" fillId="0" borderId="11" xfId="0" applyFont="1" applyBorder="1"/>
    <xf numFmtId="4" fontId="1" fillId="0" borderId="11" xfId="0" applyNumberFormat="1" applyFont="1" applyBorder="1"/>
    <xf numFmtId="4" fontId="23" fillId="0" borderId="0" xfId="0" applyNumberFormat="1" applyFont="1" applyFill="1" applyBorder="1" applyProtection="1">
      <protection hidden="1"/>
    </xf>
    <xf numFmtId="4" fontId="3" fillId="6" borderId="7" xfId="0" applyNumberFormat="1" applyFont="1" applyFill="1" applyBorder="1" applyProtection="1">
      <protection locked="0"/>
    </xf>
    <xf numFmtId="0" fontId="0" fillId="20" borderId="0" xfId="0" applyFill="1" applyBorder="1" applyAlignment="1">
      <alignment vertical="top"/>
    </xf>
    <xf numFmtId="0" fontId="0" fillId="20" borderId="25" xfId="0" applyFill="1" applyBorder="1" applyAlignment="1">
      <alignment vertical="top"/>
    </xf>
    <xf numFmtId="0" fontId="0" fillId="20" borderId="28" xfId="0" applyFill="1" applyBorder="1" applyAlignment="1">
      <alignment vertical="top"/>
    </xf>
    <xf numFmtId="0" fontId="1" fillId="0" borderId="24" xfId="5" applyFont="1" applyFill="1" applyBorder="1"/>
    <xf numFmtId="0" fontId="1" fillId="0" borderId="0" xfId="0" applyFont="1" applyFill="1" applyBorder="1"/>
    <xf numFmtId="168" fontId="0" fillId="20" borderId="25" xfId="0" applyNumberFormat="1" applyFill="1" applyBorder="1" applyAlignment="1">
      <alignment horizontal="center" vertical="top"/>
    </xf>
    <xf numFmtId="168" fontId="0" fillId="20" borderId="19" xfId="0" applyNumberFormat="1" applyFill="1" applyBorder="1" applyAlignment="1">
      <alignment horizontal="center" vertical="top"/>
    </xf>
    <xf numFmtId="168" fontId="0" fillId="20" borderId="0" xfId="0" applyNumberFormat="1" applyFill="1" applyBorder="1" applyAlignment="1">
      <alignment horizontal="center" vertical="top"/>
    </xf>
    <xf numFmtId="168" fontId="0" fillId="20" borderId="26" xfId="0" applyNumberFormat="1" applyFill="1" applyBorder="1" applyAlignment="1">
      <alignment horizontal="center" vertical="top"/>
    </xf>
    <xf numFmtId="168" fontId="0" fillId="20" borderId="28" xfId="0" applyNumberFormat="1" applyFill="1" applyBorder="1" applyAlignment="1">
      <alignment horizontal="center" vertical="top"/>
    </xf>
    <xf numFmtId="168" fontId="0" fillId="20" borderId="29" xfId="0" applyNumberFormat="1" applyFill="1" applyBorder="1" applyAlignment="1">
      <alignment horizontal="center" vertical="top"/>
    </xf>
    <xf numFmtId="168" fontId="0" fillId="21" borderId="25" xfId="0" applyNumberFormat="1" applyFill="1" applyBorder="1" applyAlignment="1">
      <alignment horizontal="center" vertical="top"/>
    </xf>
    <xf numFmtId="168" fontId="0" fillId="21" borderId="19" xfId="0" applyNumberFormat="1" applyFill="1" applyBorder="1" applyAlignment="1">
      <alignment horizontal="center" vertical="top"/>
    </xf>
    <xf numFmtId="168" fontId="0" fillId="21" borderId="0" xfId="0" applyNumberFormat="1" applyFill="1" applyBorder="1" applyAlignment="1">
      <alignment horizontal="center" vertical="top"/>
    </xf>
    <xf numFmtId="168" fontId="0" fillId="21" borderId="26" xfId="0" applyNumberFormat="1" applyFill="1" applyBorder="1" applyAlignment="1">
      <alignment horizontal="center" vertical="top"/>
    </xf>
    <xf numFmtId="168" fontId="0" fillId="21" borderId="28" xfId="0" applyNumberFormat="1" applyFill="1" applyBorder="1" applyAlignment="1">
      <alignment horizontal="center" vertical="top"/>
    </xf>
    <xf numFmtId="168" fontId="0" fillId="21" borderId="29" xfId="0" applyNumberFormat="1" applyFill="1" applyBorder="1" applyAlignment="1">
      <alignment horizontal="center" vertical="top"/>
    </xf>
    <xf numFmtId="168" fontId="0" fillId="22" borderId="25" xfId="0" applyNumberFormat="1" applyFill="1" applyBorder="1" applyAlignment="1">
      <alignment horizontal="center" vertical="top"/>
    </xf>
    <xf numFmtId="168" fontId="0" fillId="22" borderId="19" xfId="0" applyNumberFormat="1" applyFill="1" applyBorder="1" applyAlignment="1">
      <alignment horizontal="center" vertical="top"/>
    </xf>
    <xf numFmtId="168" fontId="0" fillId="22" borderId="0" xfId="0" applyNumberFormat="1" applyFill="1" applyBorder="1" applyAlignment="1">
      <alignment horizontal="center" vertical="top"/>
    </xf>
    <xf numFmtId="168" fontId="0" fillId="22" borderId="26" xfId="0" applyNumberFormat="1" applyFill="1" applyBorder="1" applyAlignment="1">
      <alignment horizontal="center" vertical="top"/>
    </xf>
    <xf numFmtId="168" fontId="0" fillId="22" borderId="28" xfId="0" applyNumberFormat="1" applyFill="1" applyBorder="1" applyAlignment="1">
      <alignment horizontal="center" vertical="top"/>
    </xf>
    <xf numFmtId="168" fontId="0" fillId="22" borderId="29" xfId="0" applyNumberFormat="1" applyFill="1" applyBorder="1" applyAlignment="1">
      <alignment horizontal="center" vertical="top"/>
    </xf>
    <xf numFmtId="168" fontId="0" fillId="6" borderId="25" xfId="0" applyNumberFormat="1" applyFill="1" applyBorder="1" applyAlignment="1">
      <alignment horizontal="center" vertical="top"/>
    </xf>
    <xf numFmtId="168" fontId="0" fillId="6" borderId="19" xfId="0" applyNumberFormat="1" applyFill="1" applyBorder="1" applyAlignment="1">
      <alignment horizontal="center" vertical="top"/>
    </xf>
    <xf numFmtId="168" fontId="0" fillId="6" borderId="0" xfId="0" applyNumberFormat="1" applyFill="1" applyBorder="1" applyAlignment="1">
      <alignment horizontal="center" vertical="top"/>
    </xf>
    <xf numFmtId="168" fontId="0" fillId="6" borderId="26" xfId="0" applyNumberFormat="1" applyFill="1" applyBorder="1" applyAlignment="1">
      <alignment horizontal="center" vertical="top"/>
    </xf>
    <xf numFmtId="168" fontId="0" fillId="6" borderId="28" xfId="0" applyNumberFormat="1" applyFill="1" applyBorder="1" applyAlignment="1">
      <alignment horizontal="center" vertical="top"/>
    </xf>
    <xf numFmtId="168" fontId="0" fillId="6" borderId="29" xfId="0" applyNumberFormat="1" applyFill="1" applyBorder="1" applyAlignment="1">
      <alignment horizontal="center" vertical="top"/>
    </xf>
    <xf numFmtId="168" fontId="0" fillId="19" borderId="0" xfId="0" applyNumberFormat="1" applyFill="1" applyBorder="1" applyAlignment="1">
      <alignment horizontal="center" vertical="top"/>
    </xf>
    <xf numFmtId="168" fontId="0" fillId="14" borderId="0" xfId="0" applyNumberFormat="1" applyFill="1" applyBorder="1" applyAlignment="1">
      <alignment horizontal="center" vertical="top"/>
    </xf>
    <xf numFmtId="168" fontId="0" fillId="15" borderId="0" xfId="0" applyNumberFormat="1" applyFill="1" applyBorder="1" applyAlignment="1">
      <alignment horizontal="center" vertical="top"/>
    </xf>
    <xf numFmtId="168" fontId="0" fillId="23" borderId="0" xfId="0" applyNumberFormat="1" applyFill="1" applyBorder="1" applyAlignment="1">
      <alignment horizontal="center" vertical="top"/>
    </xf>
    <xf numFmtId="168" fontId="0" fillId="24" borderId="0" xfId="0" applyNumberFormat="1" applyFill="1" applyBorder="1" applyAlignment="1">
      <alignment horizontal="center" vertical="top"/>
    </xf>
    <xf numFmtId="168" fontId="0" fillId="25" borderId="0" xfId="0" applyNumberFormat="1" applyFill="1" applyBorder="1" applyAlignment="1">
      <alignment horizontal="center" vertical="top"/>
    </xf>
    <xf numFmtId="168" fontId="0" fillId="26" borderId="0" xfId="0" applyNumberFormat="1" applyFill="1" applyBorder="1" applyAlignment="1">
      <alignment horizontal="center" vertical="top"/>
    </xf>
    <xf numFmtId="168" fontId="0" fillId="13" borderId="0" xfId="0" applyNumberFormat="1" applyFill="1" applyBorder="1" applyAlignment="1">
      <alignment horizontal="center" vertical="top"/>
    </xf>
    <xf numFmtId="168" fontId="0" fillId="27" borderId="0" xfId="0" applyNumberFormat="1" applyFill="1" applyBorder="1" applyAlignment="1">
      <alignment horizontal="center" vertical="top"/>
    </xf>
    <xf numFmtId="168" fontId="0" fillId="28" borderId="0" xfId="0" applyNumberFormat="1" applyFill="1" applyBorder="1" applyAlignment="1">
      <alignment horizontal="center" vertical="top"/>
    </xf>
    <xf numFmtId="168" fontId="0" fillId="16" borderId="0" xfId="0" applyNumberFormat="1" applyFill="1" applyBorder="1" applyAlignment="1">
      <alignment horizontal="center" vertical="top"/>
    </xf>
    <xf numFmtId="168" fontId="0" fillId="9" borderId="0" xfId="0" applyNumberFormat="1" applyFill="1" applyBorder="1" applyAlignment="1">
      <alignment horizontal="center" vertical="top"/>
    </xf>
    <xf numFmtId="0" fontId="0" fillId="20" borderId="25" xfId="0" applyFill="1" applyBorder="1" applyAlignment="1">
      <alignment horizontal="center" vertical="top"/>
    </xf>
    <xf numFmtId="0" fontId="0" fillId="20" borderId="0" xfId="0" applyFill="1" applyBorder="1" applyAlignment="1">
      <alignment horizontal="center" vertical="top"/>
    </xf>
    <xf numFmtId="0" fontId="0" fillId="20" borderId="28" xfId="0" applyFill="1" applyBorder="1" applyAlignment="1">
      <alignment horizontal="center" vertical="top"/>
    </xf>
    <xf numFmtId="0" fontId="0" fillId="21" borderId="25" xfId="0" applyFill="1" applyBorder="1" applyAlignment="1">
      <alignment horizontal="center" vertical="top"/>
    </xf>
    <xf numFmtId="0" fontId="0" fillId="21" borderId="0" xfId="0" applyFill="1" applyBorder="1" applyAlignment="1">
      <alignment horizontal="center" vertical="top"/>
    </xf>
    <xf numFmtId="0" fontId="0" fillId="21" borderId="28" xfId="0" applyFill="1" applyBorder="1" applyAlignment="1">
      <alignment horizontal="center" vertical="top"/>
    </xf>
    <xf numFmtId="0" fontId="0" fillId="22" borderId="25" xfId="0" applyFill="1" applyBorder="1" applyAlignment="1">
      <alignment horizontal="center" vertical="top"/>
    </xf>
    <xf numFmtId="0" fontId="0" fillId="22" borderId="0" xfId="0" applyFill="1" applyBorder="1" applyAlignment="1">
      <alignment horizontal="center" vertical="top"/>
    </xf>
    <xf numFmtId="0" fontId="0" fillId="22" borderId="28" xfId="0" applyFill="1" applyBorder="1" applyAlignment="1">
      <alignment horizontal="center" vertical="top"/>
    </xf>
    <xf numFmtId="0" fontId="0" fillId="6" borderId="25" xfId="0" applyFill="1" applyBorder="1" applyAlignment="1">
      <alignment horizontal="center" vertical="top"/>
    </xf>
    <xf numFmtId="0" fontId="0" fillId="6" borderId="0" xfId="0" applyFill="1" applyBorder="1" applyAlignment="1">
      <alignment horizontal="center" vertical="top"/>
    </xf>
    <xf numFmtId="0" fontId="0" fillId="6" borderId="28" xfId="0" applyFill="1" applyBorder="1" applyAlignment="1">
      <alignment horizontal="center" vertical="top"/>
    </xf>
    <xf numFmtId="0" fontId="0" fillId="0" borderId="0" xfId="0" applyBorder="1"/>
    <xf numFmtId="0" fontId="3" fillId="0" borderId="0" xfId="0" applyFont="1" applyBorder="1"/>
    <xf numFmtId="0" fontId="1" fillId="0" borderId="30" xfId="0" applyFont="1" applyBorder="1"/>
    <xf numFmtId="0" fontId="3" fillId="0" borderId="7" xfId="0" applyFont="1" applyBorder="1"/>
    <xf numFmtId="0" fontId="1" fillId="0" borderId="0" xfId="0" applyFont="1" applyBorder="1"/>
    <xf numFmtId="0" fontId="0" fillId="19" borderId="0" xfId="0" applyFill="1" applyBorder="1" applyAlignment="1">
      <alignment horizontal="center" vertical="top"/>
    </xf>
    <xf numFmtId="0" fontId="1" fillId="0" borderId="8" xfId="7" applyFont="1" applyFill="1" applyBorder="1" applyAlignment="1">
      <alignment horizontal="center" vertical="center" wrapText="1"/>
    </xf>
    <xf numFmtId="0" fontId="1" fillId="0" borderId="9" xfId="0" applyFont="1" applyBorder="1" applyAlignment="1">
      <alignment horizontal="center" wrapText="1"/>
    </xf>
    <xf numFmtId="0" fontId="0" fillId="0" borderId="13" xfId="0" applyBorder="1" applyAlignment="1">
      <alignment horizontal="center"/>
    </xf>
    <xf numFmtId="0" fontId="0" fillId="0" borderId="15" xfId="0" applyBorder="1" applyAlignment="1">
      <alignment horizontal="center"/>
    </xf>
    <xf numFmtId="0" fontId="1" fillId="0" borderId="10" xfId="0" applyFont="1" applyBorder="1" applyAlignment="1">
      <alignment horizontal="center" vertical="center"/>
    </xf>
    <xf numFmtId="0" fontId="0" fillId="19" borderId="25" xfId="0" applyFill="1" applyBorder="1" applyAlignment="1">
      <alignment horizontal="center" vertical="top"/>
    </xf>
    <xf numFmtId="168" fontId="0" fillId="19" borderId="25" xfId="0" applyNumberFormat="1" applyFill="1" applyBorder="1" applyAlignment="1">
      <alignment horizontal="center" vertical="top"/>
    </xf>
    <xf numFmtId="168" fontId="0" fillId="19" borderId="19" xfId="0" applyNumberFormat="1" applyFill="1" applyBorder="1" applyAlignment="1">
      <alignment horizontal="center" vertical="top"/>
    </xf>
    <xf numFmtId="168" fontId="0" fillId="19" borderId="26" xfId="0" applyNumberFormat="1" applyFill="1" applyBorder="1" applyAlignment="1">
      <alignment horizontal="center" vertical="top"/>
    </xf>
    <xf numFmtId="0" fontId="0" fillId="19" borderId="28" xfId="0" applyFill="1" applyBorder="1" applyAlignment="1">
      <alignment horizontal="center" vertical="top"/>
    </xf>
    <xf numFmtId="168" fontId="0" fillId="19" borderId="28" xfId="0" applyNumberFormat="1" applyFill="1" applyBorder="1" applyAlignment="1">
      <alignment horizontal="center" vertical="top"/>
    </xf>
    <xf numFmtId="168" fontId="0" fillId="19" borderId="29" xfId="0" applyNumberFormat="1" applyFill="1" applyBorder="1" applyAlignment="1">
      <alignment horizontal="center" vertical="top"/>
    </xf>
    <xf numFmtId="168" fontId="0" fillId="14" borderId="25" xfId="0" applyNumberFormat="1" applyFill="1" applyBorder="1" applyAlignment="1">
      <alignment horizontal="center" vertical="top"/>
    </xf>
    <xf numFmtId="168" fontId="0" fillId="14" borderId="19" xfId="0" applyNumberFormat="1" applyFill="1" applyBorder="1" applyAlignment="1">
      <alignment horizontal="center" vertical="top"/>
    </xf>
    <xf numFmtId="168" fontId="0" fillId="14" borderId="26" xfId="0" applyNumberFormat="1" applyFill="1" applyBorder="1" applyAlignment="1">
      <alignment horizontal="center" vertical="top"/>
    </xf>
    <xf numFmtId="168" fontId="0" fillId="14" borderId="28" xfId="0" applyNumberFormat="1" applyFill="1" applyBorder="1" applyAlignment="1">
      <alignment horizontal="center" vertical="top"/>
    </xf>
    <xf numFmtId="168" fontId="0" fillId="14" borderId="29" xfId="0" applyNumberFormat="1" applyFill="1" applyBorder="1" applyAlignment="1">
      <alignment horizontal="center" vertical="top"/>
    </xf>
    <xf numFmtId="168" fontId="0" fillId="15" borderId="25" xfId="0" applyNumberFormat="1" applyFill="1" applyBorder="1" applyAlignment="1">
      <alignment horizontal="center" vertical="top"/>
    </xf>
    <xf numFmtId="168" fontId="0" fillId="15" borderId="19" xfId="0" applyNumberFormat="1" applyFill="1" applyBorder="1" applyAlignment="1">
      <alignment horizontal="center" vertical="top"/>
    </xf>
    <xf numFmtId="168" fontId="0" fillId="15" borderId="26" xfId="0" applyNumberFormat="1" applyFill="1" applyBorder="1" applyAlignment="1">
      <alignment horizontal="center" vertical="top"/>
    </xf>
    <xf numFmtId="168" fontId="0" fillId="15" borderId="28" xfId="0" applyNumberFormat="1" applyFill="1" applyBorder="1" applyAlignment="1">
      <alignment horizontal="center" vertical="top"/>
    </xf>
    <xf numFmtId="168" fontId="0" fillId="15" borderId="29" xfId="0" applyNumberFormat="1" applyFill="1" applyBorder="1" applyAlignment="1">
      <alignment horizontal="center" vertical="top"/>
    </xf>
    <xf numFmtId="168" fontId="0" fillId="23" borderId="25" xfId="0" applyNumberFormat="1" applyFill="1" applyBorder="1" applyAlignment="1">
      <alignment horizontal="center" vertical="top"/>
    </xf>
    <xf numFmtId="168" fontId="0" fillId="23" borderId="19" xfId="0" applyNumberFormat="1" applyFill="1" applyBorder="1" applyAlignment="1">
      <alignment horizontal="center" vertical="top"/>
    </xf>
    <xf numFmtId="168" fontId="0" fillId="23" borderId="26" xfId="0" applyNumberFormat="1" applyFill="1" applyBorder="1" applyAlignment="1">
      <alignment horizontal="center" vertical="top"/>
    </xf>
    <xf numFmtId="168" fontId="0" fillId="23" borderId="28" xfId="0" applyNumberFormat="1" applyFill="1" applyBorder="1" applyAlignment="1">
      <alignment horizontal="center" vertical="top"/>
    </xf>
    <xf numFmtId="168" fontId="0" fillId="23" borderId="29" xfId="0" applyNumberFormat="1" applyFill="1" applyBorder="1" applyAlignment="1">
      <alignment horizontal="center" vertical="top"/>
    </xf>
    <xf numFmtId="168" fontId="0" fillId="24" borderId="25" xfId="0" applyNumberFormat="1" applyFill="1" applyBorder="1" applyAlignment="1">
      <alignment horizontal="center" vertical="top"/>
    </xf>
    <xf numFmtId="168" fontId="0" fillId="24" borderId="19" xfId="0" applyNumberFormat="1" applyFill="1" applyBorder="1" applyAlignment="1">
      <alignment horizontal="center" vertical="top"/>
    </xf>
    <xf numFmtId="168" fontId="0" fillId="24" borderId="26" xfId="0" applyNumberFormat="1" applyFill="1" applyBorder="1" applyAlignment="1">
      <alignment horizontal="center" vertical="top"/>
    </xf>
    <xf numFmtId="168" fontId="0" fillId="24" borderId="28" xfId="0" applyNumberFormat="1" applyFill="1" applyBorder="1" applyAlignment="1">
      <alignment horizontal="center" vertical="top"/>
    </xf>
    <xf numFmtId="168" fontId="0" fillId="24" borderId="29" xfId="0" applyNumberFormat="1" applyFill="1" applyBorder="1" applyAlignment="1">
      <alignment horizontal="center" vertical="top"/>
    </xf>
    <xf numFmtId="168" fontId="0" fillId="25" borderId="25" xfId="0" applyNumberFormat="1" applyFill="1" applyBorder="1" applyAlignment="1">
      <alignment horizontal="center" vertical="top"/>
    </xf>
    <xf numFmtId="168" fontId="0" fillId="25" borderId="19" xfId="0" applyNumberFormat="1" applyFill="1" applyBorder="1" applyAlignment="1">
      <alignment horizontal="center" vertical="top"/>
    </xf>
    <xf numFmtId="168" fontId="0" fillId="25" borderId="26" xfId="0" applyNumberFormat="1" applyFill="1" applyBorder="1" applyAlignment="1">
      <alignment horizontal="center" vertical="top"/>
    </xf>
    <xf numFmtId="168" fontId="0" fillId="25" borderId="28" xfId="0" applyNumberFormat="1" applyFill="1" applyBorder="1" applyAlignment="1">
      <alignment horizontal="center" vertical="top"/>
    </xf>
    <xf numFmtId="168" fontId="0" fillId="25" borderId="29" xfId="0" applyNumberFormat="1" applyFill="1" applyBorder="1" applyAlignment="1">
      <alignment horizontal="center" vertical="top"/>
    </xf>
    <xf numFmtId="168" fontId="0" fillId="26" borderId="25" xfId="0" applyNumberFormat="1" applyFill="1" applyBorder="1" applyAlignment="1">
      <alignment horizontal="center" vertical="top"/>
    </xf>
    <xf numFmtId="168" fontId="0" fillId="26" borderId="19" xfId="0" applyNumberFormat="1" applyFill="1" applyBorder="1" applyAlignment="1">
      <alignment horizontal="center" vertical="top"/>
    </xf>
    <xf numFmtId="168" fontId="0" fillId="26" borderId="26" xfId="0" applyNumberFormat="1" applyFill="1" applyBorder="1" applyAlignment="1">
      <alignment horizontal="center" vertical="top"/>
    </xf>
    <xf numFmtId="168" fontId="0" fillId="26" borderId="28" xfId="0" applyNumberFormat="1" applyFill="1" applyBorder="1" applyAlignment="1">
      <alignment horizontal="center" vertical="top"/>
    </xf>
    <xf numFmtId="168" fontId="0" fillId="26" borderId="29" xfId="0" applyNumberFormat="1" applyFill="1" applyBorder="1" applyAlignment="1">
      <alignment horizontal="center" vertical="top"/>
    </xf>
    <xf numFmtId="168" fontId="0" fillId="13" borderId="25" xfId="0" applyNumberFormat="1" applyFill="1" applyBorder="1" applyAlignment="1">
      <alignment horizontal="center" vertical="top"/>
    </xf>
    <xf numFmtId="168" fontId="0" fillId="13" borderId="19" xfId="0" applyNumberFormat="1" applyFill="1" applyBorder="1" applyAlignment="1">
      <alignment horizontal="center" vertical="top"/>
    </xf>
    <xf numFmtId="168" fontId="0" fillId="13" borderId="26" xfId="0" applyNumberFormat="1" applyFill="1" applyBorder="1" applyAlignment="1">
      <alignment horizontal="center" vertical="top"/>
    </xf>
    <xf numFmtId="168" fontId="0" fillId="13" borderId="28" xfId="0" applyNumberFormat="1" applyFill="1" applyBorder="1" applyAlignment="1">
      <alignment horizontal="center" vertical="top"/>
    </xf>
    <xf numFmtId="168" fontId="0" fillId="13" borderId="29" xfId="0" applyNumberFormat="1" applyFill="1" applyBorder="1" applyAlignment="1">
      <alignment horizontal="center" vertical="top"/>
    </xf>
    <xf numFmtId="168" fontId="0" fillId="27" borderId="25" xfId="0" applyNumberFormat="1" applyFill="1" applyBorder="1" applyAlignment="1">
      <alignment horizontal="center" vertical="top"/>
    </xf>
    <xf numFmtId="168" fontId="0" fillId="27" borderId="19" xfId="0" applyNumberFormat="1" applyFill="1" applyBorder="1" applyAlignment="1">
      <alignment horizontal="center" vertical="top"/>
    </xf>
    <xf numFmtId="168" fontId="0" fillId="27" borderId="26" xfId="0" applyNumberFormat="1" applyFill="1" applyBorder="1" applyAlignment="1">
      <alignment horizontal="center" vertical="top"/>
    </xf>
    <xf numFmtId="168" fontId="0" fillId="27" borderId="28" xfId="0" applyNumberFormat="1" applyFill="1" applyBorder="1" applyAlignment="1">
      <alignment horizontal="center" vertical="top"/>
    </xf>
    <xf numFmtId="168" fontId="0" fillId="27" borderId="29" xfId="0" applyNumberFormat="1" applyFill="1" applyBorder="1" applyAlignment="1">
      <alignment horizontal="center" vertical="top"/>
    </xf>
    <xf numFmtId="168" fontId="0" fillId="28" borderId="25" xfId="0" applyNumberFormat="1" applyFill="1" applyBorder="1" applyAlignment="1">
      <alignment horizontal="center" vertical="top"/>
    </xf>
    <xf numFmtId="168" fontId="0" fillId="28" borderId="19" xfId="0" applyNumberFormat="1" applyFill="1" applyBorder="1" applyAlignment="1">
      <alignment horizontal="center" vertical="top"/>
    </xf>
    <xf numFmtId="168" fontId="0" fillId="28" borderId="26" xfId="0" applyNumberFormat="1" applyFill="1" applyBorder="1" applyAlignment="1">
      <alignment horizontal="center" vertical="top"/>
    </xf>
    <xf numFmtId="168" fontId="0" fillId="28" borderId="28" xfId="0" applyNumberFormat="1" applyFill="1" applyBorder="1" applyAlignment="1">
      <alignment horizontal="center" vertical="top"/>
    </xf>
    <xf numFmtId="168" fontId="0" fillId="28" borderId="29" xfId="0" applyNumberFormat="1" applyFill="1" applyBorder="1" applyAlignment="1">
      <alignment horizontal="center" vertical="top"/>
    </xf>
    <xf numFmtId="168" fontId="0" fillId="16" borderId="25" xfId="0" applyNumberFormat="1" applyFill="1" applyBorder="1" applyAlignment="1">
      <alignment horizontal="center" vertical="top"/>
    </xf>
    <xf numFmtId="168" fontId="0" fillId="16" borderId="19" xfId="0" applyNumberFormat="1" applyFill="1" applyBorder="1" applyAlignment="1">
      <alignment horizontal="center" vertical="top"/>
    </xf>
    <xf numFmtId="168" fontId="0" fillId="16" borderId="26" xfId="0" applyNumberFormat="1" applyFill="1" applyBorder="1" applyAlignment="1">
      <alignment horizontal="center" vertical="top"/>
    </xf>
    <xf numFmtId="168" fontId="0" fillId="16" borderId="28" xfId="0" applyNumberFormat="1" applyFill="1" applyBorder="1" applyAlignment="1">
      <alignment horizontal="center" vertical="top"/>
    </xf>
    <xf numFmtId="168" fontId="0" fillId="16" borderId="29" xfId="0" applyNumberFormat="1" applyFill="1" applyBorder="1" applyAlignment="1">
      <alignment horizontal="center" vertical="top"/>
    </xf>
    <xf numFmtId="0" fontId="25" fillId="18" borderId="31" xfId="7" applyBorder="1" applyAlignment="1">
      <alignment vertical="top"/>
    </xf>
    <xf numFmtId="0" fontId="25" fillId="18" borderId="32" xfId="7" applyBorder="1" applyAlignment="1">
      <alignment vertical="top"/>
    </xf>
    <xf numFmtId="0" fontId="25" fillId="18" borderId="32" xfId="7" applyBorder="1" applyAlignment="1">
      <alignment vertical="top" wrapText="1"/>
    </xf>
    <xf numFmtId="0" fontId="25" fillId="18" borderId="32" xfId="7" applyBorder="1" applyAlignment="1">
      <alignment horizontal="center" vertical="center" wrapText="1"/>
    </xf>
    <xf numFmtId="0" fontId="25" fillId="18" borderId="33" xfId="7" applyBorder="1" applyAlignment="1">
      <alignment horizontal="center" vertical="center" wrapText="1"/>
    </xf>
    <xf numFmtId="168" fontId="0" fillId="9" borderId="26" xfId="0" applyNumberFormat="1" applyFill="1" applyBorder="1" applyAlignment="1">
      <alignment horizontal="center" vertical="top"/>
    </xf>
    <xf numFmtId="168" fontId="0" fillId="9" borderId="28" xfId="0" applyNumberFormat="1" applyFill="1" applyBorder="1" applyAlignment="1">
      <alignment horizontal="center" vertical="top"/>
    </xf>
    <xf numFmtId="168" fontId="0" fillId="9" borderId="29" xfId="0" applyNumberFormat="1" applyFill="1" applyBorder="1" applyAlignment="1">
      <alignment horizontal="center" vertical="top"/>
    </xf>
    <xf numFmtId="166" fontId="0" fillId="0" borderId="14" xfId="0" applyNumberFormat="1" applyBorder="1" applyAlignment="1">
      <alignment horizontal="center"/>
    </xf>
    <xf numFmtId="0" fontId="0" fillId="20" borderId="18" xfId="0" applyFill="1" applyBorder="1" applyAlignment="1">
      <alignment horizontal="center" vertical="top"/>
    </xf>
    <xf numFmtId="0" fontId="0" fillId="20" borderId="16" xfId="0" applyFill="1" applyBorder="1" applyAlignment="1">
      <alignment horizontal="center" vertical="top"/>
    </xf>
    <xf numFmtId="0" fontId="0" fillId="20" borderId="27" xfId="0" applyFill="1" applyBorder="1" applyAlignment="1">
      <alignment horizontal="center" vertical="top"/>
    </xf>
    <xf numFmtId="0" fontId="0" fillId="21" borderId="18" xfId="0" applyFill="1" applyBorder="1" applyAlignment="1">
      <alignment horizontal="center" vertical="top"/>
    </xf>
    <xf numFmtId="0" fontId="0" fillId="21" borderId="16" xfId="0" applyFill="1" applyBorder="1" applyAlignment="1">
      <alignment horizontal="center" vertical="top"/>
    </xf>
    <xf numFmtId="0" fontId="0" fillId="21" borderId="27" xfId="0" applyFill="1" applyBorder="1" applyAlignment="1">
      <alignment horizontal="center" vertical="top"/>
    </xf>
    <xf numFmtId="0" fontId="0" fillId="22" borderId="18" xfId="0" applyFill="1" applyBorder="1" applyAlignment="1">
      <alignment horizontal="center" vertical="top"/>
    </xf>
    <xf numFmtId="0" fontId="0" fillId="22" borderId="16" xfId="0" applyFill="1" applyBorder="1" applyAlignment="1">
      <alignment horizontal="center" vertical="top"/>
    </xf>
    <xf numFmtId="0" fontId="0" fillId="22" borderId="27" xfId="0" applyFill="1" applyBorder="1" applyAlignment="1">
      <alignment horizontal="center" vertical="top"/>
    </xf>
    <xf numFmtId="0" fontId="0" fillId="6" borderId="18" xfId="0" applyFill="1" applyBorder="1" applyAlignment="1">
      <alignment horizontal="center" vertical="top"/>
    </xf>
    <xf numFmtId="0" fontId="0" fillId="6" borderId="16" xfId="0" applyFill="1" applyBorder="1" applyAlignment="1">
      <alignment horizontal="center" vertical="top"/>
    </xf>
    <xf numFmtId="0" fontId="0" fillId="6" borderId="27" xfId="0" applyFill="1" applyBorder="1" applyAlignment="1">
      <alignment horizontal="center" vertical="top"/>
    </xf>
    <xf numFmtId="0" fontId="0" fillId="19" borderId="18" xfId="0" applyFill="1" applyBorder="1" applyAlignment="1">
      <alignment horizontal="center" vertical="top"/>
    </xf>
    <xf numFmtId="0" fontId="0" fillId="19" borderId="16" xfId="0" applyFill="1" applyBorder="1" applyAlignment="1">
      <alignment horizontal="center" vertical="top"/>
    </xf>
    <xf numFmtId="0" fontId="0" fillId="19" borderId="27" xfId="0" applyFill="1" applyBorder="1" applyAlignment="1">
      <alignment horizontal="center" vertical="top"/>
    </xf>
    <xf numFmtId="0" fontId="0" fillId="14" borderId="18" xfId="0" applyFill="1" applyBorder="1" applyAlignment="1">
      <alignment horizontal="center" vertical="top"/>
    </xf>
    <xf numFmtId="0" fontId="0" fillId="14" borderId="25" xfId="0" applyFill="1" applyBorder="1" applyAlignment="1">
      <alignment horizontal="center" vertical="top"/>
    </xf>
    <xf numFmtId="0" fontId="0" fillId="14" borderId="16" xfId="0" applyFill="1" applyBorder="1" applyAlignment="1">
      <alignment horizontal="center" vertical="top"/>
    </xf>
    <xf numFmtId="0" fontId="0" fillId="14" borderId="0" xfId="0" applyFill="1" applyBorder="1" applyAlignment="1">
      <alignment horizontal="center" vertical="top"/>
    </xf>
    <xf numFmtId="0" fontId="0" fillId="14" borderId="27" xfId="0" applyFill="1" applyBorder="1" applyAlignment="1">
      <alignment horizontal="center" vertical="top"/>
    </xf>
    <xf numFmtId="0" fontId="0" fillId="14" borderId="28" xfId="0" applyFill="1" applyBorder="1" applyAlignment="1">
      <alignment horizontal="center" vertical="top"/>
    </xf>
    <xf numFmtId="0" fontId="0" fillId="15" borderId="18" xfId="0" applyFill="1" applyBorder="1" applyAlignment="1">
      <alignment horizontal="center" vertical="top"/>
    </xf>
    <xf numFmtId="0" fontId="0" fillId="15" borderId="25" xfId="0" applyFill="1" applyBorder="1" applyAlignment="1">
      <alignment horizontal="center" vertical="top"/>
    </xf>
    <xf numFmtId="0" fontId="0" fillId="15" borderId="16" xfId="0" applyFill="1" applyBorder="1" applyAlignment="1">
      <alignment horizontal="center" vertical="top"/>
    </xf>
    <xf numFmtId="0" fontId="0" fillId="15" borderId="0" xfId="0" applyFill="1" applyBorder="1" applyAlignment="1">
      <alignment horizontal="center" vertical="top"/>
    </xf>
    <xf numFmtId="0" fontId="0" fillId="15" borderId="27" xfId="0" applyFill="1" applyBorder="1" applyAlignment="1">
      <alignment horizontal="center" vertical="top"/>
    </xf>
    <xf numFmtId="0" fontId="0" fillId="15" borderId="28" xfId="0" applyFill="1" applyBorder="1" applyAlignment="1">
      <alignment horizontal="center" vertical="top"/>
    </xf>
    <xf numFmtId="0" fontId="0" fillId="23" borderId="18" xfId="0" applyFill="1" applyBorder="1" applyAlignment="1">
      <alignment horizontal="center" vertical="top"/>
    </xf>
    <xf numFmtId="0" fontId="0" fillId="23" borderId="25" xfId="0" applyFill="1" applyBorder="1" applyAlignment="1">
      <alignment horizontal="center" vertical="top"/>
    </xf>
    <xf numFmtId="0" fontId="0" fillId="23" borderId="16" xfId="0" applyFill="1" applyBorder="1" applyAlignment="1">
      <alignment horizontal="center" vertical="top"/>
    </xf>
    <xf numFmtId="0" fontId="0" fillId="23" borderId="0" xfId="0" applyFill="1" applyBorder="1" applyAlignment="1">
      <alignment horizontal="center" vertical="top"/>
    </xf>
    <xf numFmtId="0" fontId="0" fillId="23" borderId="27" xfId="0" applyFill="1" applyBorder="1" applyAlignment="1">
      <alignment horizontal="center" vertical="top"/>
    </xf>
    <xf numFmtId="0" fontId="0" fillId="23" borderId="28" xfId="0" applyFill="1" applyBorder="1" applyAlignment="1">
      <alignment horizontal="center" vertical="top"/>
    </xf>
    <xf numFmtId="0" fontId="0" fillId="24" borderId="18" xfId="0" applyFill="1" applyBorder="1" applyAlignment="1">
      <alignment horizontal="center" vertical="top"/>
    </xf>
    <xf numFmtId="0" fontId="0" fillId="24" borderId="25" xfId="0" applyFill="1" applyBorder="1" applyAlignment="1">
      <alignment horizontal="center" vertical="top"/>
    </xf>
    <xf numFmtId="0" fontId="0" fillId="24" borderId="16" xfId="0" applyFill="1" applyBorder="1" applyAlignment="1">
      <alignment horizontal="center" vertical="top"/>
    </xf>
    <xf numFmtId="0" fontId="0" fillId="24" borderId="0" xfId="0" applyFill="1" applyBorder="1" applyAlignment="1">
      <alignment horizontal="center" vertical="top"/>
    </xf>
    <xf numFmtId="0" fontId="0" fillId="24" borderId="27" xfId="0" applyFill="1" applyBorder="1" applyAlignment="1">
      <alignment horizontal="center" vertical="top"/>
    </xf>
    <xf numFmtId="0" fontId="0" fillId="24" borderId="28" xfId="0" applyFill="1" applyBorder="1" applyAlignment="1">
      <alignment horizontal="center" vertical="top"/>
    </xf>
    <xf numFmtId="0" fontId="0" fillId="25" borderId="18" xfId="0" applyFill="1" applyBorder="1" applyAlignment="1">
      <alignment horizontal="center" vertical="top"/>
    </xf>
    <xf numFmtId="0" fontId="0" fillId="25" borderId="25" xfId="0" applyFill="1" applyBorder="1" applyAlignment="1">
      <alignment horizontal="center" vertical="top"/>
    </xf>
    <xf numFmtId="0" fontId="0" fillId="25" borderId="16" xfId="0" applyFill="1" applyBorder="1" applyAlignment="1">
      <alignment horizontal="center" vertical="top"/>
    </xf>
    <xf numFmtId="0" fontId="0" fillId="25" borderId="0" xfId="0" applyFill="1" applyBorder="1" applyAlignment="1">
      <alignment horizontal="center" vertical="top"/>
    </xf>
    <xf numFmtId="0" fontId="0" fillId="25" borderId="27" xfId="0" applyFill="1" applyBorder="1" applyAlignment="1">
      <alignment horizontal="center" vertical="top"/>
    </xf>
    <xf numFmtId="0" fontId="0" fillId="25" borderId="28" xfId="0" applyFill="1" applyBorder="1" applyAlignment="1">
      <alignment horizontal="center" vertical="top"/>
    </xf>
    <xf numFmtId="0" fontId="0" fillId="26" borderId="18" xfId="0" applyFill="1" applyBorder="1" applyAlignment="1">
      <alignment horizontal="center" vertical="top"/>
    </xf>
    <xf numFmtId="0" fontId="0" fillId="26" borderId="25" xfId="0" applyFill="1" applyBorder="1" applyAlignment="1">
      <alignment horizontal="center" vertical="top"/>
    </xf>
    <xf numFmtId="0" fontId="0" fillId="26" borderId="16" xfId="0" applyFill="1" applyBorder="1" applyAlignment="1">
      <alignment horizontal="center" vertical="top"/>
    </xf>
    <xf numFmtId="0" fontId="0" fillId="26" borderId="0" xfId="0" applyFill="1" applyBorder="1" applyAlignment="1">
      <alignment horizontal="center" vertical="top"/>
    </xf>
    <xf numFmtId="0" fontId="0" fillId="26" borderId="27" xfId="0" applyFill="1" applyBorder="1" applyAlignment="1">
      <alignment horizontal="center" vertical="top"/>
    </xf>
    <xf numFmtId="0" fontId="0" fillId="26" borderId="28" xfId="0" applyFill="1" applyBorder="1" applyAlignment="1">
      <alignment horizontal="center" vertical="top"/>
    </xf>
    <xf numFmtId="0" fontId="0" fillId="13" borderId="18" xfId="0" applyFill="1" applyBorder="1" applyAlignment="1">
      <alignment horizontal="center" vertical="top"/>
    </xf>
    <xf numFmtId="0" fontId="0" fillId="13" borderId="25" xfId="0" applyFill="1" applyBorder="1" applyAlignment="1">
      <alignment horizontal="center" vertical="top"/>
    </xf>
    <xf numFmtId="0" fontId="0" fillId="13" borderId="16" xfId="0" applyFill="1" applyBorder="1" applyAlignment="1">
      <alignment horizontal="center" vertical="top"/>
    </xf>
    <xf numFmtId="0" fontId="0" fillId="13" borderId="0" xfId="0" applyFill="1" applyBorder="1" applyAlignment="1">
      <alignment horizontal="center" vertical="top"/>
    </xf>
    <xf numFmtId="0" fontId="0" fillId="13" borderId="27" xfId="0" applyFill="1" applyBorder="1" applyAlignment="1">
      <alignment horizontal="center" vertical="top"/>
    </xf>
    <xf numFmtId="0" fontId="0" fillId="13" borderId="28" xfId="0" applyFill="1" applyBorder="1" applyAlignment="1">
      <alignment horizontal="center" vertical="top"/>
    </xf>
    <xf numFmtId="0" fontId="0" fillId="27" borderId="18" xfId="0" applyFill="1" applyBorder="1" applyAlignment="1">
      <alignment horizontal="center" vertical="top"/>
    </xf>
    <xf numFmtId="0" fontId="0" fillId="27" borderId="25" xfId="0" applyFill="1" applyBorder="1" applyAlignment="1">
      <alignment horizontal="center" vertical="top"/>
    </xf>
    <xf numFmtId="0" fontId="0" fillId="27" borderId="16" xfId="0" applyFill="1" applyBorder="1" applyAlignment="1">
      <alignment horizontal="center" vertical="top"/>
    </xf>
    <xf numFmtId="0" fontId="0" fillId="27" borderId="0" xfId="0" applyFill="1" applyBorder="1" applyAlignment="1">
      <alignment horizontal="center" vertical="top"/>
    </xf>
    <xf numFmtId="0" fontId="0" fillId="27" borderId="27" xfId="0" applyFill="1" applyBorder="1" applyAlignment="1">
      <alignment horizontal="center" vertical="top"/>
    </xf>
    <xf numFmtId="0" fontId="0" fillId="27" borderId="28" xfId="0" applyFill="1" applyBorder="1" applyAlignment="1">
      <alignment horizontal="center" vertical="top"/>
    </xf>
    <xf numFmtId="0" fontId="0" fillId="28" borderId="18" xfId="0" applyFill="1" applyBorder="1" applyAlignment="1">
      <alignment horizontal="center" vertical="top"/>
    </xf>
    <xf numFmtId="0" fontId="0" fillId="28" borderId="25" xfId="0" applyFill="1" applyBorder="1" applyAlignment="1">
      <alignment horizontal="center" vertical="top"/>
    </xf>
    <xf numFmtId="0" fontId="0" fillId="28" borderId="16" xfId="0" applyFill="1" applyBorder="1" applyAlignment="1">
      <alignment horizontal="center" vertical="top"/>
    </xf>
    <xf numFmtId="0" fontId="0" fillId="28" borderId="0" xfId="0" applyFill="1" applyBorder="1" applyAlignment="1">
      <alignment horizontal="center" vertical="top"/>
    </xf>
    <xf numFmtId="0" fontId="0" fillId="28" borderId="27" xfId="0" applyFill="1" applyBorder="1" applyAlignment="1">
      <alignment horizontal="center" vertical="top"/>
    </xf>
    <xf numFmtId="0" fontId="0" fillId="28" borderId="28" xfId="0" applyFill="1" applyBorder="1" applyAlignment="1">
      <alignment horizontal="center" vertical="top"/>
    </xf>
    <xf numFmtId="0" fontId="0" fillId="16" borderId="18" xfId="0" applyFill="1" applyBorder="1" applyAlignment="1">
      <alignment horizontal="center" vertical="top"/>
    </xf>
    <xf numFmtId="0" fontId="0" fillId="16" borderId="25" xfId="0" applyFill="1" applyBorder="1" applyAlignment="1">
      <alignment horizontal="center" vertical="top"/>
    </xf>
    <xf numFmtId="0" fontId="0" fillId="16" borderId="16" xfId="0" applyFill="1" applyBorder="1" applyAlignment="1">
      <alignment horizontal="center" vertical="top"/>
    </xf>
    <xf numFmtId="0" fontId="0" fillId="16" borderId="0" xfId="0" applyFill="1" applyBorder="1" applyAlignment="1">
      <alignment horizontal="center" vertical="top"/>
    </xf>
    <xf numFmtId="0" fontId="0" fillId="16" borderId="27" xfId="0" applyFill="1" applyBorder="1" applyAlignment="1">
      <alignment horizontal="center" vertical="top"/>
    </xf>
    <xf numFmtId="0" fontId="0" fillId="16" borderId="28" xfId="0" applyFill="1" applyBorder="1" applyAlignment="1">
      <alignment horizontal="center" vertical="top"/>
    </xf>
    <xf numFmtId="0" fontId="0" fillId="9" borderId="16" xfId="0" applyFill="1" applyBorder="1" applyAlignment="1">
      <alignment horizontal="center" vertical="top"/>
    </xf>
    <xf numFmtId="0" fontId="0" fillId="9" borderId="0" xfId="0" applyFill="1" applyBorder="1" applyAlignment="1">
      <alignment horizontal="center" vertical="top"/>
    </xf>
    <xf numFmtId="0" fontId="0" fillId="9" borderId="27" xfId="0" applyFill="1" applyBorder="1" applyAlignment="1">
      <alignment horizontal="center" vertical="top"/>
    </xf>
    <xf numFmtId="0" fontId="0" fillId="9" borderId="28" xfId="0" applyFill="1" applyBorder="1" applyAlignment="1">
      <alignment horizontal="center" vertical="top"/>
    </xf>
    <xf numFmtId="10" fontId="22" fillId="6" borderId="34" xfId="5" applyNumberFormat="1" applyFont="1" applyFill="1" applyBorder="1"/>
    <xf numFmtId="0" fontId="1" fillId="0" borderId="7" xfId="0" applyFont="1" applyBorder="1"/>
    <xf numFmtId="0" fontId="0" fillId="0" borderId="1" xfId="0" applyBorder="1"/>
    <xf numFmtId="0" fontId="0" fillId="0" borderId="1" xfId="0" applyBorder="1" applyAlignment="1">
      <alignment horizontal="center"/>
    </xf>
    <xf numFmtId="166" fontId="0" fillId="0" borderId="1" xfId="0" applyNumberFormat="1" applyBorder="1"/>
    <xf numFmtId="43" fontId="0" fillId="0" borderId="0" xfId="0" applyNumberFormat="1"/>
    <xf numFmtId="44" fontId="18" fillId="5" borderId="0" xfId="1" applyNumberFormat="1" applyFont="1" applyFill="1" applyBorder="1" applyAlignment="1" applyProtection="1">
      <alignment vertical="center" shrinkToFit="1"/>
      <protection locked="0" hidden="1"/>
    </xf>
    <xf numFmtId="44" fontId="18" fillId="15" borderId="0" xfId="1" applyNumberFormat="1" applyFont="1" applyFill="1" applyBorder="1" applyAlignment="1" applyProtection="1">
      <alignment vertical="center" shrinkToFit="1"/>
      <protection hidden="1"/>
    </xf>
    <xf numFmtId="44" fontId="17" fillId="17" borderId="0" xfId="1" applyNumberFormat="1" applyFont="1" applyFill="1" applyBorder="1" applyAlignment="1" applyProtection="1">
      <alignment vertical="center" shrinkToFit="1"/>
      <protection hidden="1"/>
    </xf>
    <xf numFmtId="0" fontId="0" fillId="3" borderId="0" xfId="0" applyFill="1" applyProtection="1">
      <protection hidden="1"/>
    </xf>
    <xf numFmtId="4" fontId="19" fillId="3" borderId="0" xfId="0" applyNumberFormat="1" applyFont="1" applyFill="1" applyBorder="1" applyAlignment="1" applyProtection="1">
      <alignment horizontal="right" vertical="center"/>
      <protection hidden="1"/>
    </xf>
    <xf numFmtId="0" fontId="0" fillId="3" borderId="0" xfId="0" applyFill="1" applyAlignment="1" applyProtection="1">
      <alignment horizontal="right"/>
      <protection hidden="1"/>
    </xf>
    <xf numFmtId="164" fontId="18" fillId="3" borderId="0" xfId="1" applyFont="1" applyFill="1" applyBorder="1" applyAlignment="1" applyProtection="1">
      <alignment horizontal="center" vertical="center" shrinkToFit="1"/>
      <protection hidden="1"/>
    </xf>
    <xf numFmtId="10" fontId="18" fillId="3" borderId="0" xfId="0" applyNumberFormat="1" applyFont="1" applyFill="1" applyBorder="1" applyAlignment="1" applyProtection="1">
      <alignment horizontal="left" vertical="center"/>
      <protection hidden="1"/>
    </xf>
    <xf numFmtId="0" fontId="19" fillId="3" borderId="0" xfId="0" applyFont="1" applyFill="1" applyBorder="1" applyAlignment="1" applyProtection="1">
      <alignment horizontal="left" vertical="center"/>
      <protection hidden="1"/>
    </xf>
    <xf numFmtId="0" fontId="18" fillId="3" borderId="0" xfId="0" applyFont="1" applyFill="1" applyBorder="1" applyAlignment="1" applyProtection="1">
      <alignment horizontal="left" vertical="center"/>
      <protection hidden="1"/>
    </xf>
    <xf numFmtId="0" fontId="24" fillId="3" borderId="0" xfId="0" applyFont="1" applyFill="1" applyBorder="1" applyAlignment="1" applyProtection="1">
      <alignment horizontal="left" vertical="center"/>
      <protection hidden="1"/>
    </xf>
    <xf numFmtId="0" fontId="18" fillId="3" borderId="0" xfId="0" applyFont="1" applyFill="1" applyBorder="1" applyAlignment="1" applyProtection="1">
      <alignment vertical="center"/>
      <protection hidden="1"/>
    </xf>
    <xf numFmtId="0" fontId="1" fillId="3" borderId="0" xfId="0" applyFont="1" applyFill="1" applyProtection="1">
      <protection hidden="1"/>
    </xf>
    <xf numFmtId="44" fontId="18" fillId="3" borderId="0" xfId="1" applyNumberFormat="1" applyFont="1" applyFill="1" applyBorder="1" applyAlignment="1" applyProtection="1">
      <alignment vertical="center" shrinkToFit="1"/>
      <protection hidden="1"/>
    </xf>
    <xf numFmtId="44" fontId="17" fillId="3" borderId="0" xfId="0" applyNumberFormat="1" applyFont="1" applyFill="1" applyBorder="1" applyAlignment="1" applyProtection="1">
      <alignment vertical="center" shrinkToFit="1"/>
      <protection hidden="1"/>
    </xf>
    <xf numFmtId="4" fontId="17" fillId="3" borderId="0" xfId="0" applyNumberFormat="1" applyFont="1" applyFill="1" applyBorder="1" applyAlignment="1" applyProtection="1">
      <alignment vertical="center" shrinkToFit="1"/>
      <protection hidden="1"/>
    </xf>
    <xf numFmtId="4" fontId="18" fillId="3" borderId="0" xfId="0" applyNumberFormat="1" applyFont="1" applyFill="1" applyBorder="1" applyAlignment="1" applyProtection="1">
      <alignment horizontal="center" vertical="center"/>
      <protection hidden="1"/>
    </xf>
    <xf numFmtId="44" fontId="18" fillId="3" borderId="0" xfId="0" applyNumberFormat="1" applyFont="1" applyFill="1" applyBorder="1" applyAlignment="1" applyProtection="1">
      <alignment vertical="center" shrinkToFit="1"/>
      <protection hidden="1"/>
    </xf>
    <xf numFmtId="0" fontId="2" fillId="3" borderId="0" xfId="0" applyFont="1" applyFill="1" applyBorder="1" applyAlignment="1" applyProtection="1">
      <alignment vertical="center"/>
      <protection hidden="1"/>
    </xf>
    <xf numFmtId="0" fontId="19" fillId="3" borderId="0" xfId="0" applyFont="1" applyFill="1" applyBorder="1" applyAlignment="1" applyProtection="1">
      <alignment vertical="center" shrinkToFit="1"/>
      <protection hidden="1"/>
    </xf>
    <xf numFmtId="10" fontId="19" fillId="3" borderId="0" xfId="0" applyNumberFormat="1" applyFont="1" applyFill="1" applyBorder="1" applyAlignment="1" applyProtection="1">
      <alignment horizontal="center" vertical="center"/>
      <protection hidden="1"/>
    </xf>
    <xf numFmtId="44" fontId="17" fillId="3" borderId="0" xfId="1" applyNumberFormat="1" applyFont="1" applyFill="1" applyBorder="1" applyAlignment="1" applyProtection="1">
      <alignment vertical="center" shrinkToFit="1"/>
      <protection hidden="1"/>
    </xf>
    <xf numFmtId="0" fontId="0" fillId="3" borderId="0" xfId="0" applyFill="1" applyBorder="1" applyProtection="1">
      <protection hidden="1"/>
    </xf>
    <xf numFmtId="0" fontId="0" fillId="3" borderId="0" xfId="0" applyFill="1" applyBorder="1" applyAlignment="1" applyProtection="1">
      <alignment vertical="center"/>
      <protection hidden="1"/>
    </xf>
    <xf numFmtId="0" fontId="0" fillId="3" borderId="0" xfId="0" applyFill="1" applyBorder="1" applyAlignment="1" applyProtection="1">
      <alignment horizontal="left" vertical="center"/>
      <protection hidden="1"/>
    </xf>
    <xf numFmtId="0" fontId="11" fillId="3" borderId="0" xfId="0" applyFont="1" applyFill="1" applyBorder="1" applyAlignment="1" applyProtection="1">
      <alignment horizontal="left" vertical="center"/>
      <protection hidden="1"/>
    </xf>
    <xf numFmtId="0" fontId="4" fillId="3" borderId="0" xfId="0" quotePrefix="1" applyFont="1" applyFill="1" applyBorder="1" applyAlignment="1" applyProtection="1">
      <alignment vertical="center"/>
      <protection hidden="1"/>
    </xf>
    <xf numFmtId="0" fontId="17" fillId="3" borderId="0" xfId="0" applyFont="1" applyFill="1" applyBorder="1" applyAlignment="1" applyProtection="1">
      <alignment vertical="center"/>
      <protection hidden="1"/>
    </xf>
    <xf numFmtId="44" fontId="18" fillId="3" borderId="0" xfId="0" applyNumberFormat="1" applyFont="1" applyFill="1" applyBorder="1" applyAlignment="1" applyProtection="1">
      <alignment vertical="center"/>
      <protection hidden="1"/>
    </xf>
    <xf numFmtId="4" fontId="17" fillId="3" borderId="0" xfId="0" applyNumberFormat="1" applyFont="1" applyFill="1" applyBorder="1" applyAlignment="1" applyProtection="1">
      <alignment horizontal="right" vertical="center"/>
      <protection hidden="1"/>
    </xf>
    <xf numFmtId="0" fontId="13" fillId="3" borderId="0" xfId="0" quotePrefix="1" applyFont="1" applyFill="1" applyBorder="1" applyAlignment="1" applyProtection="1">
      <alignment horizontal="left" vertical="center"/>
      <protection hidden="1"/>
    </xf>
    <xf numFmtId="0" fontId="0" fillId="3" borderId="0" xfId="0" applyFill="1" applyBorder="1" applyAlignment="1" applyProtection="1">
      <alignment horizontal="right"/>
      <protection hidden="1"/>
    </xf>
    <xf numFmtId="0" fontId="17" fillId="3" borderId="0" xfId="1" applyNumberFormat="1" applyFont="1" applyFill="1" applyBorder="1" applyAlignment="1" applyProtection="1">
      <alignment horizontal="right" vertical="center"/>
      <protection hidden="1"/>
    </xf>
    <xf numFmtId="0" fontId="2" fillId="3" borderId="0" xfId="0" quotePrefix="1" applyFont="1" applyFill="1" applyBorder="1" applyAlignment="1" applyProtection="1">
      <alignment vertical="center"/>
      <protection hidden="1"/>
    </xf>
    <xf numFmtId="0" fontId="2" fillId="3" borderId="0" xfId="0" quotePrefix="1" applyFont="1" applyFill="1" applyBorder="1" applyAlignment="1" applyProtection="1">
      <alignment horizontal="left" vertical="center"/>
      <protection hidden="1"/>
    </xf>
    <xf numFmtId="0" fontId="14" fillId="3" borderId="0" xfId="2" quotePrefix="1" applyFont="1" applyFill="1" applyBorder="1" applyAlignment="1" applyProtection="1">
      <alignment vertical="center"/>
      <protection hidden="1"/>
    </xf>
    <xf numFmtId="0" fontId="15" fillId="3" borderId="0" xfId="2" quotePrefix="1" applyFont="1" applyFill="1" applyBorder="1" applyAlignment="1" applyProtection="1">
      <alignment vertical="center"/>
      <protection hidden="1"/>
    </xf>
    <xf numFmtId="0" fontId="2" fillId="3" borderId="0" xfId="0" applyFont="1" applyFill="1" applyBorder="1" applyAlignment="1" applyProtection="1">
      <alignment horizontal="left" vertical="center"/>
      <protection hidden="1"/>
    </xf>
    <xf numFmtId="0" fontId="18" fillId="3" borderId="0" xfId="0" applyFont="1" applyFill="1" applyBorder="1" applyAlignment="1" applyProtection="1">
      <alignment horizontal="right" indent="1"/>
      <protection hidden="1"/>
    </xf>
    <xf numFmtId="0" fontId="18" fillId="3" borderId="0" xfId="0" applyFont="1" applyFill="1" applyBorder="1" applyAlignment="1" applyProtection="1">
      <alignment horizontal="left"/>
      <protection hidden="1"/>
    </xf>
    <xf numFmtId="0" fontId="17" fillId="3" borderId="0" xfId="0" applyFont="1" applyFill="1" applyBorder="1" applyAlignment="1" applyProtection="1">
      <alignment horizontal="right" vertical="center"/>
      <protection hidden="1"/>
    </xf>
    <xf numFmtId="0" fontId="16" fillId="3" borderId="0" xfId="0" applyFont="1" applyFill="1" applyBorder="1" applyAlignment="1" applyProtection="1">
      <alignment vertical="center"/>
      <protection hidden="1"/>
    </xf>
    <xf numFmtId="0" fontId="17" fillId="3" borderId="0" xfId="0" applyFont="1" applyFill="1" applyBorder="1" applyAlignment="1" applyProtection="1">
      <alignment horizontal="center" vertical="top"/>
      <protection hidden="1"/>
    </xf>
    <xf numFmtId="0" fontId="17" fillId="3" borderId="0" xfId="0" applyFont="1" applyFill="1" applyBorder="1" applyAlignment="1" applyProtection="1">
      <alignment horizontal="center" vertical="center"/>
      <protection hidden="1"/>
    </xf>
    <xf numFmtId="166" fontId="18" fillId="3" borderId="0" xfId="3" applyNumberFormat="1" applyFont="1" applyFill="1" applyBorder="1" applyAlignment="1" applyProtection="1">
      <alignment horizontal="center" vertical="center"/>
      <protection hidden="1"/>
    </xf>
    <xf numFmtId="0" fontId="18" fillId="3" borderId="0" xfId="0" applyFont="1" applyFill="1" applyBorder="1" applyAlignment="1" applyProtection="1">
      <alignment horizontal="right" vertical="center"/>
      <protection hidden="1"/>
    </xf>
    <xf numFmtId="0" fontId="2" fillId="3" borderId="0" xfId="0" applyFont="1" applyFill="1" applyBorder="1" applyProtection="1">
      <protection hidden="1"/>
    </xf>
    <xf numFmtId="164" fontId="18" fillId="3" borderId="0" xfId="1" applyFont="1" applyFill="1" applyBorder="1" applyAlignment="1" applyProtection="1">
      <alignment horizontal="right" vertical="center"/>
      <protection hidden="1"/>
    </xf>
    <xf numFmtId="10" fontId="18" fillId="3" borderId="0" xfId="3" applyNumberFormat="1" applyFont="1" applyFill="1" applyBorder="1" applyAlignment="1" applyProtection="1">
      <alignment horizontal="center" vertical="center"/>
      <protection hidden="1"/>
    </xf>
    <xf numFmtId="166" fontId="18" fillId="3" borderId="0" xfId="0" applyNumberFormat="1" applyFont="1" applyFill="1" applyBorder="1" applyAlignment="1" applyProtection="1">
      <alignment horizontal="center" vertical="center"/>
      <protection hidden="1"/>
    </xf>
    <xf numFmtId="4" fontId="18" fillId="3" borderId="0" xfId="0" applyNumberFormat="1" applyFont="1" applyFill="1" applyBorder="1" applyAlignment="1" applyProtection="1">
      <alignment horizontal="right" vertical="center"/>
      <protection hidden="1"/>
    </xf>
    <xf numFmtId="2" fontId="18" fillId="3" borderId="0" xfId="0" applyNumberFormat="1" applyFont="1" applyFill="1" applyBorder="1" applyAlignment="1" applyProtection="1">
      <alignment horizontal="left" vertical="center"/>
      <protection hidden="1"/>
    </xf>
    <xf numFmtId="2" fontId="19" fillId="3" borderId="0" xfId="0" applyNumberFormat="1" applyFont="1" applyFill="1" applyBorder="1" applyAlignment="1" applyProtection="1">
      <alignment horizontal="right" vertical="center"/>
      <protection hidden="1"/>
    </xf>
    <xf numFmtId="10" fontId="17" fillId="3" borderId="0" xfId="0" quotePrefix="1" applyNumberFormat="1" applyFont="1" applyFill="1" applyBorder="1" applyAlignment="1" applyProtection="1">
      <alignment vertical="center"/>
      <protection hidden="1"/>
    </xf>
    <xf numFmtId="0" fontId="32" fillId="3" borderId="0" xfId="0" applyFont="1" applyFill="1" applyBorder="1" applyAlignment="1" applyProtection="1">
      <alignment horizontal="left" vertical="center"/>
      <protection hidden="1"/>
    </xf>
    <xf numFmtId="0" fontId="17" fillId="14" borderId="0" xfId="0" applyFont="1" applyFill="1" applyBorder="1" applyAlignment="1" applyProtection="1">
      <alignment vertical="center"/>
      <protection hidden="1"/>
    </xf>
    <xf numFmtId="44" fontId="18" fillId="14" borderId="0" xfId="0" applyNumberFormat="1" applyFont="1" applyFill="1" applyBorder="1" applyAlignment="1" applyProtection="1">
      <alignment vertical="center"/>
      <protection hidden="1"/>
    </xf>
    <xf numFmtId="0" fontId="17" fillId="20" borderId="0" xfId="0" applyFont="1" applyFill="1" applyBorder="1" applyAlignment="1" applyProtection="1">
      <alignment vertical="center"/>
      <protection hidden="1"/>
    </xf>
    <xf numFmtId="44" fontId="18" fillId="20" borderId="0" xfId="0" applyNumberFormat="1" applyFont="1" applyFill="1" applyBorder="1" applyAlignment="1" applyProtection="1">
      <alignment vertical="center"/>
      <protection hidden="1"/>
    </xf>
    <xf numFmtId="165" fontId="0" fillId="2" borderId="0" xfId="0" applyNumberFormat="1" applyFill="1" applyProtection="1">
      <protection hidden="1"/>
    </xf>
    <xf numFmtId="0" fontId="29" fillId="3" borderId="0" xfId="0" applyFont="1" applyFill="1" applyBorder="1" applyAlignment="1" applyProtection="1">
      <alignment vertical="center"/>
      <protection hidden="1"/>
    </xf>
    <xf numFmtId="0" fontId="23" fillId="3" borderId="0" xfId="0" applyFont="1" applyFill="1" applyBorder="1" applyAlignment="1" applyProtection="1">
      <alignment horizontal="left" vertical="center"/>
      <protection hidden="1"/>
    </xf>
    <xf numFmtId="0" fontId="30" fillId="3" borderId="0" xfId="0" applyFont="1" applyFill="1" applyBorder="1" applyAlignment="1" applyProtection="1">
      <alignment horizontal="left" vertical="center"/>
      <protection hidden="1"/>
    </xf>
    <xf numFmtId="0" fontId="31" fillId="3" borderId="0" xfId="0" quotePrefix="1" applyFont="1" applyFill="1" applyBorder="1" applyAlignment="1" applyProtection="1">
      <alignment horizontal="left" vertical="center"/>
      <protection hidden="1"/>
    </xf>
    <xf numFmtId="10" fontId="18" fillId="15" borderId="0" xfId="0" applyNumberFormat="1" applyFont="1" applyFill="1" applyBorder="1" applyAlignment="1" applyProtection="1">
      <alignment vertical="center"/>
      <protection hidden="1"/>
    </xf>
    <xf numFmtId="0" fontId="17" fillId="30" borderId="0" xfId="0" applyFont="1" applyFill="1" applyBorder="1" applyProtection="1">
      <protection hidden="1"/>
    </xf>
    <xf numFmtId="0" fontId="18" fillId="30" borderId="0" xfId="0" applyFont="1" applyFill="1" applyBorder="1" applyAlignment="1" applyProtection="1">
      <alignment horizontal="right" indent="1"/>
      <protection hidden="1"/>
    </xf>
    <xf numFmtId="0" fontId="32" fillId="3" borderId="0" xfId="0" applyFont="1" applyFill="1" applyBorder="1" applyAlignment="1" applyProtection="1">
      <alignment horizontal="left"/>
      <protection hidden="1"/>
    </xf>
    <xf numFmtId="2" fontId="32" fillId="3" borderId="0" xfId="0" applyNumberFormat="1" applyFont="1" applyFill="1" applyBorder="1" applyAlignment="1" applyProtection="1">
      <alignment horizontal="left" vertical="center"/>
      <protection hidden="1"/>
    </xf>
    <xf numFmtId="0" fontId="30" fillId="3" borderId="0" xfId="0" applyFont="1" applyFill="1" applyBorder="1" applyAlignment="1" applyProtection="1">
      <alignment horizontal="right" vertical="center"/>
      <protection hidden="1"/>
    </xf>
    <xf numFmtId="2" fontId="31" fillId="3" borderId="0" xfId="0" applyNumberFormat="1" applyFont="1" applyFill="1" applyBorder="1" applyAlignment="1" applyProtection="1">
      <alignment horizontal="right" vertical="center"/>
      <protection hidden="1"/>
    </xf>
    <xf numFmtId="4" fontId="30" fillId="3" borderId="0" xfId="0" applyNumberFormat="1" applyFont="1" applyFill="1" applyBorder="1" applyAlignment="1" applyProtection="1">
      <alignment horizontal="left" vertical="center"/>
      <protection hidden="1"/>
    </xf>
    <xf numFmtId="10" fontId="30" fillId="3" borderId="0" xfId="0" applyNumberFormat="1" applyFont="1" applyFill="1" applyBorder="1" applyAlignment="1" applyProtection="1">
      <alignment horizontal="center" vertical="center"/>
      <protection hidden="1"/>
    </xf>
    <xf numFmtId="0" fontId="30" fillId="3" borderId="0" xfId="0" applyFont="1" applyFill="1" applyBorder="1" applyAlignment="1" applyProtection="1">
      <alignment vertical="center"/>
      <protection hidden="1"/>
    </xf>
    <xf numFmtId="4" fontId="26" fillId="3" borderId="0" xfId="0" applyNumberFormat="1" applyFont="1" applyFill="1" applyBorder="1" applyAlignment="1" applyProtection="1">
      <alignment horizontal="left" vertical="center"/>
      <protection hidden="1"/>
    </xf>
    <xf numFmtId="4" fontId="26" fillId="3" borderId="0" xfId="0" applyNumberFormat="1" applyFont="1" applyFill="1" applyBorder="1" applyAlignment="1" applyProtection="1">
      <alignment vertical="center"/>
      <protection hidden="1"/>
    </xf>
    <xf numFmtId="0" fontId="31" fillId="3" borderId="0" xfId="0" applyFont="1" applyFill="1" applyBorder="1" applyAlignment="1" applyProtection="1">
      <alignment vertical="center"/>
      <protection hidden="1"/>
    </xf>
    <xf numFmtId="0" fontId="31" fillId="3" borderId="0" xfId="0" quotePrefix="1" applyFont="1" applyFill="1" applyBorder="1" applyAlignment="1" applyProtection="1">
      <alignment horizontal="right" vertical="center"/>
      <protection hidden="1"/>
    </xf>
    <xf numFmtId="14" fontId="31" fillId="3" borderId="0" xfId="0" quotePrefix="1" applyNumberFormat="1" applyFont="1" applyFill="1" applyBorder="1" applyAlignment="1" applyProtection="1">
      <alignment horizontal="right" vertical="center"/>
      <protection hidden="1"/>
    </xf>
    <xf numFmtId="10" fontId="18" fillId="3" borderId="0" xfId="1" applyNumberFormat="1" applyFont="1" applyFill="1" applyBorder="1" applyAlignment="1" applyProtection="1">
      <alignment vertical="center" shrinkToFit="1"/>
      <protection hidden="1"/>
    </xf>
    <xf numFmtId="165" fontId="18" fillId="3" borderId="0" xfId="0" applyNumberFormat="1" applyFont="1" applyFill="1" applyBorder="1" applyAlignment="1" applyProtection="1">
      <alignment vertical="center" shrinkToFit="1"/>
      <protection hidden="1"/>
    </xf>
    <xf numFmtId="0" fontId="18" fillId="3" borderId="0" xfId="0" applyNumberFormat="1" applyFont="1" applyFill="1" applyBorder="1" applyAlignment="1" applyProtection="1">
      <alignment horizontal="right" vertical="center" shrinkToFit="1"/>
      <protection hidden="1"/>
    </xf>
    <xf numFmtId="0" fontId="18" fillId="3" borderId="0" xfId="0" applyNumberFormat="1" applyFont="1" applyFill="1" applyBorder="1" applyAlignment="1" applyProtection="1">
      <alignment vertical="center" shrinkToFit="1"/>
      <protection hidden="1"/>
    </xf>
    <xf numFmtId="10" fontId="18" fillId="5" borderId="0" xfId="1" applyNumberFormat="1" applyFont="1" applyFill="1" applyBorder="1" applyAlignment="1" applyProtection="1">
      <alignment vertical="center" shrinkToFit="1"/>
      <protection locked="0" hidden="1"/>
    </xf>
    <xf numFmtId="165" fontId="18" fillId="5" borderId="0" xfId="0" applyNumberFormat="1" applyFont="1" applyFill="1" applyBorder="1" applyAlignment="1" applyProtection="1">
      <alignment vertical="center" shrinkToFit="1"/>
      <protection locked="0" hidden="1"/>
    </xf>
    <xf numFmtId="0" fontId="30" fillId="3" borderId="0" xfId="0" applyNumberFormat="1" applyFont="1" applyFill="1" applyBorder="1" applyAlignment="1" applyProtection="1">
      <alignment horizontal="right" vertical="center" shrinkToFit="1"/>
      <protection locked="0" hidden="1"/>
    </xf>
    <xf numFmtId="0" fontId="18" fillId="5" borderId="0" xfId="0" applyNumberFormat="1" applyFont="1" applyFill="1" applyBorder="1" applyAlignment="1" applyProtection="1">
      <alignment horizontal="right" vertical="center" shrinkToFit="1"/>
      <protection locked="0" hidden="1"/>
    </xf>
    <xf numFmtId="0" fontId="18" fillId="5" borderId="0" xfId="0" applyNumberFormat="1" applyFont="1" applyFill="1" applyBorder="1" applyAlignment="1" applyProtection="1">
      <alignment vertical="center" shrinkToFit="1"/>
      <protection locked="0" hidden="1"/>
    </xf>
    <xf numFmtId="0" fontId="0" fillId="3" borderId="35" xfId="0" applyFill="1" applyBorder="1" applyProtection="1">
      <protection hidden="1"/>
    </xf>
    <xf numFmtId="0" fontId="0" fillId="3" borderId="36" xfId="0" applyFill="1" applyBorder="1" applyAlignment="1" applyProtection="1">
      <alignment vertical="center"/>
      <protection hidden="1"/>
    </xf>
    <xf numFmtId="0" fontId="0" fillId="3" borderId="37" xfId="0" applyFill="1" applyBorder="1" applyProtection="1">
      <protection hidden="1"/>
    </xf>
    <xf numFmtId="0" fontId="0" fillId="3" borderId="24" xfId="0" applyFill="1" applyBorder="1" applyProtection="1">
      <protection hidden="1"/>
    </xf>
    <xf numFmtId="0" fontId="10" fillId="3" borderId="40" xfId="0" applyFont="1" applyFill="1" applyBorder="1" applyProtection="1">
      <protection hidden="1"/>
    </xf>
    <xf numFmtId="0" fontId="1" fillId="3" borderId="40" xfId="0" applyFont="1" applyFill="1" applyBorder="1" applyAlignment="1" applyProtection="1">
      <alignment horizontal="left"/>
      <protection hidden="1"/>
    </xf>
    <xf numFmtId="0" fontId="10" fillId="3" borderId="40" xfId="0" applyNumberFormat="1" applyFont="1" applyFill="1" applyBorder="1" applyProtection="1">
      <protection hidden="1"/>
    </xf>
    <xf numFmtId="0" fontId="23" fillId="3" borderId="40" xfId="0" applyFont="1" applyFill="1" applyBorder="1" applyProtection="1">
      <protection hidden="1"/>
    </xf>
    <xf numFmtId="14" fontId="23" fillId="3" borderId="40" xfId="0" applyNumberFormat="1" applyFont="1" applyFill="1" applyBorder="1" applyProtection="1">
      <protection hidden="1"/>
    </xf>
    <xf numFmtId="0" fontId="23" fillId="3" borderId="40" xfId="0" applyFont="1" applyFill="1" applyBorder="1" applyAlignment="1" applyProtection="1">
      <alignment horizontal="left"/>
      <protection hidden="1"/>
    </xf>
    <xf numFmtId="0" fontId="0" fillId="3" borderId="40" xfId="0" applyFill="1" applyBorder="1" applyProtection="1">
      <protection hidden="1"/>
    </xf>
    <xf numFmtId="43" fontId="1" fillId="3" borderId="40" xfId="0" applyNumberFormat="1" applyFont="1" applyFill="1" applyBorder="1" applyProtection="1">
      <protection hidden="1"/>
    </xf>
    <xf numFmtId="0" fontId="1" fillId="3" borderId="40" xfId="0" applyFont="1" applyFill="1" applyBorder="1" applyProtection="1">
      <protection hidden="1"/>
    </xf>
    <xf numFmtId="4" fontId="30" fillId="3" borderId="40" xfId="0" applyNumberFormat="1" applyFont="1" applyFill="1" applyBorder="1" applyAlignment="1" applyProtection="1">
      <alignment vertical="center"/>
      <protection hidden="1"/>
    </xf>
    <xf numFmtId="0" fontId="0" fillId="3" borderId="38" xfId="0" applyFill="1" applyBorder="1" applyProtection="1">
      <protection hidden="1"/>
    </xf>
    <xf numFmtId="10" fontId="1" fillId="3" borderId="4" xfId="0" quotePrefix="1" applyNumberFormat="1" applyFont="1" applyFill="1" applyBorder="1" applyAlignment="1" applyProtection="1">
      <alignment vertical="center"/>
      <protection hidden="1"/>
    </xf>
    <xf numFmtId="0" fontId="1" fillId="3" borderId="4" xfId="0" applyFont="1" applyFill="1" applyBorder="1" applyAlignment="1" applyProtection="1">
      <alignment vertical="center"/>
      <protection hidden="1"/>
    </xf>
    <xf numFmtId="0" fontId="1" fillId="3" borderId="4" xfId="0" applyFont="1" applyFill="1" applyBorder="1" applyAlignment="1" applyProtection="1">
      <alignment horizontal="right" vertical="center"/>
      <protection hidden="1"/>
    </xf>
    <xf numFmtId="0" fontId="0" fillId="3" borderId="39" xfId="0" applyFill="1" applyBorder="1" applyProtection="1">
      <protection hidden="1"/>
    </xf>
    <xf numFmtId="166" fontId="10" fillId="3" borderId="0" xfId="0" applyNumberFormat="1" applyFont="1" applyFill="1" applyProtection="1">
      <protection hidden="1"/>
    </xf>
    <xf numFmtId="10" fontId="10" fillId="3" borderId="0" xfId="3" applyNumberFormat="1" applyFont="1" applyFill="1" applyProtection="1">
      <protection hidden="1"/>
    </xf>
    <xf numFmtId="0" fontId="28" fillId="3" borderId="40" xfId="0" applyFont="1" applyFill="1" applyBorder="1" applyProtection="1">
      <protection hidden="1"/>
    </xf>
    <xf numFmtId="165" fontId="28" fillId="3" borderId="40" xfId="0" applyNumberFormat="1" applyFont="1" applyFill="1" applyBorder="1" applyAlignment="1" applyProtection="1">
      <alignment horizontal="left"/>
      <protection hidden="1"/>
    </xf>
    <xf numFmtId="0" fontId="28" fillId="3" borderId="40" xfId="0" applyFont="1" applyFill="1" applyBorder="1" applyAlignment="1" applyProtection="1">
      <alignment horizontal="left"/>
      <protection hidden="1"/>
    </xf>
    <xf numFmtId="4" fontId="30" fillId="3" borderId="0" xfId="0" applyNumberFormat="1" applyFont="1" applyFill="1" applyBorder="1" applyAlignment="1" applyProtection="1">
      <alignment horizontal="right" vertical="center"/>
      <protection hidden="1"/>
    </xf>
    <xf numFmtId="0" fontId="33" fillId="15" borderId="0" xfId="0" applyFont="1" applyFill="1" applyBorder="1" applyAlignment="1" applyProtection="1">
      <alignment vertical="center"/>
      <protection hidden="1"/>
    </xf>
    <xf numFmtId="0" fontId="33" fillId="15" borderId="0" xfId="0" applyFont="1" applyFill="1" applyBorder="1" applyAlignment="1" applyProtection="1">
      <alignment horizontal="center" vertical="top"/>
      <protection hidden="1"/>
    </xf>
    <xf numFmtId="0" fontId="18" fillId="15" borderId="0" xfId="0" applyFont="1" applyFill="1" applyBorder="1" applyAlignment="1" applyProtection="1">
      <alignment vertical="center"/>
      <protection hidden="1"/>
    </xf>
    <xf numFmtId="0" fontId="17" fillId="29" borderId="0" xfId="0" applyFont="1" applyFill="1" applyBorder="1" applyAlignment="1" applyProtection="1">
      <alignment vertical="center"/>
      <protection hidden="1"/>
    </xf>
    <xf numFmtId="44" fontId="17" fillId="29" borderId="0" xfId="0" applyNumberFormat="1" applyFont="1" applyFill="1" applyBorder="1" applyAlignment="1" applyProtection="1">
      <alignment vertical="center" shrinkToFit="1"/>
      <protection hidden="1"/>
    </xf>
    <xf numFmtId="0" fontId="18" fillId="6" borderId="0" xfId="0" applyFont="1" applyFill="1" applyBorder="1" applyAlignment="1" applyProtection="1">
      <alignment vertical="center"/>
      <protection hidden="1"/>
    </xf>
    <xf numFmtId="44" fontId="18" fillId="6" borderId="0" xfId="0" applyNumberFormat="1" applyFont="1" applyFill="1" applyBorder="1" applyAlignment="1" applyProtection="1">
      <alignment vertical="center" shrinkToFit="1"/>
      <protection hidden="1"/>
    </xf>
    <xf numFmtId="0" fontId="30" fillId="3" borderId="0" xfId="0" applyFont="1" applyFill="1" applyBorder="1" applyAlignment="1" applyProtection="1">
      <alignment vertical="center" shrinkToFit="1"/>
      <protection hidden="1"/>
    </xf>
    <xf numFmtId="0" fontId="17" fillId="17" borderId="0" xfId="0" applyNumberFormat="1" applyFont="1" applyFill="1" applyBorder="1" applyAlignment="1" applyProtection="1">
      <alignment vertical="center"/>
      <protection hidden="1"/>
    </xf>
    <xf numFmtId="10" fontId="17" fillId="17" borderId="0" xfId="0" applyNumberFormat="1" applyFont="1" applyFill="1" applyBorder="1" applyAlignment="1" applyProtection="1">
      <alignment vertical="center"/>
      <protection hidden="1"/>
    </xf>
    <xf numFmtId="0" fontId="0" fillId="3" borderId="4" xfId="0" applyFill="1" applyBorder="1" applyProtection="1">
      <protection hidden="1"/>
    </xf>
    <xf numFmtId="44" fontId="30" fillId="3" borderId="0" xfId="1" applyNumberFormat="1" applyFont="1" applyFill="1" applyBorder="1" applyAlignment="1" applyProtection="1">
      <alignment vertical="center" shrinkToFit="1"/>
      <protection hidden="1"/>
    </xf>
    <xf numFmtId="0" fontId="34" fillId="3" borderId="0" xfId="2" quotePrefix="1" applyFont="1" applyFill="1" applyBorder="1" applyAlignment="1" applyProtection="1">
      <alignment vertical="center"/>
      <protection locked="0" hidden="1"/>
    </xf>
    <xf numFmtId="0" fontId="1" fillId="0" borderId="11" xfId="0" applyFont="1" applyBorder="1" applyAlignment="1"/>
    <xf numFmtId="10" fontId="3" fillId="6" borderId="5" xfId="0" applyNumberFormat="1" applyFont="1" applyFill="1" applyBorder="1" applyProtection="1">
      <protection locked="0"/>
    </xf>
    <xf numFmtId="1" fontId="3" fillId="6" borderId="5" xfId="0" applyNumberFormat="1" applyFont="1" applyFill="1" applyBorder="1" applyProtection="1">
      <protection locked="0"/>
    </xf>
    <xf numFmtId="167" fontId="3" fillId="6" borderId="5" xfId="0" applyNumberFormat="1" applyFont="1" applyFill="1" applyBorder="1" applyProtection="1">
      <protection locked="0"/>
    </xf>
    <xf numFmtId="4" fontId="3" fillId="6" borderId="5" xfId="0" applyNumberFormat="1" applyFont="1" applyFill="1" applyBorder="1" applyProtection="1">
      <protection locked="0"/>
    </xf>
    <xf numFmtId="4" fontId="3" fillId="6" borderId="5" xfId="0" quotePrefix="1" applyNumberFormat="1" applyFont="1" applyFill="1" applyBorder="1" applyProtection="1">
      <protection locked="0"/>
    </xf>
    <xf numFmtId="4" fontId="3" fillId="6" borderId="17" xfId="0" quotePrefix="1" applyNumberFormat="1" applyFont="1" applyFill="1" applyBorder="1" applyProtection="1">
      <protection locked="0"/>
    </xf>
    <xf numFmtId="4" fontId="3" fillId="6" borderId="27" xfId="0" applyNumberFormat="1" applyFont="1" applyFill="1" applyBorder="1" applyProtection="1">
      <protection locked="0"/>
    </xf>
    <xf numFmtId="4" fontId="3" fillId="6" borderId="29" xfId="0" applyNumberFormat="1" applyFont="1" applyFill="1" applyBorder="1" applyProtection="1">
      <protection locked="0"/>
    </xf>
    <xf numFmtId="4" fontId="3" fillId="6" borderId="1" xfId="0" applyNumberFormat="1" applyFont="1" applyFill="1" applyBorder="1" applyAlignment="1" applyProtection="1">
      <alignment horizontal="center" vertical="center"/>
      <protection locked="0"/>
    </xf>
    <xf numFmtId="0" fontId="0" fillId="0" borderId="5" xfId="0" applyBorder="1" applyAlignment="1"/>
    <xf numFmtId="4" fontId="3" fillId="0" borderId="5" xfId="0" applyNumberFormat="1" applyFont="1" applyFill="1" applyBorder="1" applyAlignment="1" applyProtection="1">
      <alignment horizontal="center" vertical="center"/>
      <protection hidden="1"/>
    </xf>
    <xf numFmtId="4" fontId="0" fillId="0" borderId="11" xfId="0" applyNumberFormat="1" applyBorder="1"/>
    <xf numFmtId="10" fontId="3" fillId="6" borderId="12" xfId="0" applyNumberFormat="1" applyFont="1" applyFill="1" applyBorder="1" applyAlignment="1" applyProtection="1">
      <alignment horizontal="center" vertical="center"/>
      <protection hidden="1"/>
    </xf>
    <xf numFmtId="4" fontId="1" fillId="0" borderId="1" xfId="0" applyNumberFormat="1" applyFont="1" applyBorder="1"/>
    <xf numFmtId="0" fontId="1" fillId="0" borderId="12" xfId="0" applyFont="1" applyBorder="1" applyAlignment="1">
      <alignment horizontal="center"/>
    </xf>
    <xf numFmtId="0" fontId="35" fillId="3" borderId="0" xfId="0" applyFont="1" applyFill="1" applyBorder="1" applyAlignment="1" applyProtection="1">
      <alignment horizontal="left" vertical="center"/>
      <protection hidden="1"/>
    </xf>
    <xf numFmtId="0" fontId="0" fillId="0" borderId="30" xfId="0" applyBorder="1" applyAlignment="1">
      <alignment horizontal="center"/>
    </xf>
    <xf numFmtId="0" fontId="0" fillId="0" borderId="41" xfId="0" applyBorder="1" applyAlignment="1">
      <alignment horizontal="center"/>
    </xf>
    <xf numFmtId="0" fontId="0" fillId="0" borderId="42" xfId="0" applyBorder="1"/>
    <xf numFmtId="0" fontId="38" fillId="0" borderId="0" xfId="0" applyFont="1" applyBorder="1"/>
    <xf numFmtId="0" fontId="39" fillId="0" borderId="0" xfId="0" applyFont="1" applyBorder="1"/>
    <xf numFmtId="0" fontId="39" fillId="0" borderId="0" xfId="0" quotePrefix="1" applyFont="1" applyBorder="1"/>
    <xf numFmtId="0" fontId="1" fillId="0" borderId="26" xfId="0" applyFont="1" applyBorder="1" applyAlignment="1">
      <alignment horizontal="center"/>
    </xf>
    <xf numFmtId="0" fontId="12" fillId="0" borderId="38" xfId="0" applyFont="1" applyBorder="1" applyAlignment="1">
      <alignment horizontal="center"/>
    </xf>
    <xf numFmtId="0" fontId="1" fillId="0" borderId="16" xfId="0" applyFont="1" applyBorder="1" applyAlignment="1">
      <alignment horizontal="center"/>
    </xf>
    <xf numFmtId="0" fontId="20" fillId="7" borderId="0" xfId="5" applyFill="1" applyAlignment="1">
      <alignment horizontal="right"/>
    </xf>
    <xf numFmtId="0" fontId="22" fillId="6" borderId="48" xfId="5" applyFont="1" applyFill="1" applyBorder="1"/>
    <xf numFmtId="0" fontId="40" fillId="3" borderId="0" xfId="0" applyFont="1" applyFill="1" applyBorder="1" applyAlignment="1" applyProtection="1">
      <alignment horizontal="right" vertical="center"/>
      <protection hidden="1"/>
    </xf>
    <xf numFmtId="0" fontId="7" fillId="3" borderId="36" xfId="0" applyFont="1" applyFill="1" applyBorder="1" applyAlignment="1" applyProtection="1">
      <alignment horizontal="center" vertical="center"/>
      <protection hidden="1"/>
    </xf>
    <xf numFmtId="0" fontId="0" fillId="3" borderId="0" xfId="0" applyFill="1" applyBorder="1" applyAlignment="1" applyProtection="1">
      <alignment horizontal="center"/>
      <protection hidden="1"/>
    </xf>
    <xf numFmtId="0" fontId="27" fillId="3" borderId="0" xfId="0" applyFont="1" applyFill="1" applyBorder="1" applyAlignment="1" applyProtection="1">
      <alignment horizontal="left" vertical="center"/>
      <protection hidden="1"/>
    </xf>
    <xf numFmtId="4" fontId="17" fillId="14" borderId="0" xfId="0" applyNumberFormat="1" applyFont="1" applyFill="1" applyBorder="1" applyAlignment="1" applyProtection="1">
      <alignment horizontal="right" vertical="center"/>
      <protection hidden="1"/>
    </xf>
    <xf numFmtId="4" fontId="17" fillId="20" borderId="0" xfId="0" applyNumberFormat="1" applyFont="1" applyFill="1" applyBorder="1" applyAlignment="1" applyProtection="1">
      <alignment horizontal="right" vertical="center"/>
      <protection hidden="1"/>
    </xf>
    <xf numFmtId="10" fontId="17" fillId="3" borderId="0" xfId="0" applyNumberFormat="1" applyFont="1" applyFill="1" applyBorder="1" applyAlignment="1" applyProtection="1">
      <alignment horizontal="center" vertical="center"/>
      <protection hidden="1"/>
    </xf>
    <xf numFmtId="0" fontId="17" fillId="3" borderId="0" xfId="1" applyNumberFormat="1" applyFont="1" applyFill="1" applyBorder="1" applyAlignment="1" applyProtection="1">
      <alignment horizontal="right" vertical="center"/>
      <protection hidden="1"/>
    </xf>
    <xf numFmtId="10" fontId="18" fillId="3" borderId="0" xfId="0" quotePrefix="1" applyNumberFormat="1" applyFont="1" applyFill="1" applyBorder="1" applyAlignment="1" applyProtection="1">
      <alignment horizontal="left" vertical="center"/>
      <protection hidden="1"/>
    </xf>
    <xf numFmtId="10" fontId="18" fillId="3" borderId="0" xfId="0" quotePrefix="1" applyNumberFormat="1" applyFont="1" applyFill="1" applyBorder="1" applyAlignment="1" applyProtection="1">
      <alignment horizontal="left" vertical="center" wrapText="1"/>
      <protection hidden="1"/>
    </xf>
    <xf numFmtId="0" fontId="1" fillId="0" borderId="3" xfId="0" applyFont="1" applyBorder="1" applyAlignment="1">
      <alignment horizontal="center"/>
    </xf>
    <xf numFmtId="0" fontId="1" fillId="0" borderId="4" xfId="0" applyFont="1" applyBorder="1" applyAlignment="1">
      <alignment horizontal="center"/>
    </xf>
    <xf numFmtId="4" fontId="1" fillId="0" borderId="13" xfId="0" applyNumberFormat="1" applyFont="1" applyBorder="1" applyAlignment="1">
      <alignment horizontal="left"/>
    </xf>
    <xf numFmtId="4" fontId="1" fillId="0" borderId="14" xfId="0" applyNumberFormat="1" applyFont="1" applyBorder="1" applyAlignment="1">
      <alignment horizontal="left"/>
    </xf>
    <xf numFmtId="0" fontId="12" fillId="0" borderId="22" xfId="0" applyFont="1" applyBorder="1" applyAlignment="1">
      <alignment horizontal="center"/>
    </xf>
    <xf numFmtId="0" fontId="12" fillId="0" borderId="23" xfId="0" applyFont="1" applyBorder="1" applyAlignment="1">
      <alignment horizontal="center"/>
    </xf>
    <xf numFmtId="0" fontId="1" fillId="0" borderId="11" xfId="0" applyFont="1" applyBorder="1" applyAlignment="1">
      <alignment horizontal="center"/>
    </xf>
    <xf numFmtId="0" fontId="0" fillId="0" borderId="12" xfId="0" applyBorder="1" applyAlignment="1">
      <alignment horizontal="center"/>
    </xf>
    <xf numFmtId="0" fontId="1" fillId="0" borderId="11" xfId="0" applyFont="1" applyBorder="1" applyAlignment="1">
      <alignment horizontal="left"/>
    </xf>
    <xf numFmtId="0" fontId="1" fillId="0" borderId="1"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4" fontId="1" fillId="0" borderId="11" xfId="0" applyNumberFormat="1" applyFont="1" applyBorder="1" applyAlignment="1">
      <alignment horizontal="left"/>
    </xf>
    <xf numFmtId="4" fontId="1" fillId="0" borderId="1" xfId="0" applyNumberFormat="1" applyFont="1" applyBorder="1" applyAlignment="1">
      <alignment horizontal="left"/>
    </xf>
    <xf numFmtId="0" fontId="12" fillId="0" borderId="8" xfId="0" applyFont="1" applyBorder="1" applyAlignment="1">
      <alignment horizontal="center"/>
    </xf>
    <xf numFmtId="0" fontId="12" fillId="0" borderId="9" xfId="0" applyFont="1"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26" xfId="0" applyFont="1" applyBorder="1" applyAlignment="1">
      <alignment horizontal="center"/>
    </xf>
    <xf numFmtId="4" fontId="0" fillId="0" borderId="16" xfId="0" applyNumberFormat="1" applyBorder="1" applyAlignment="1">
      <alignment horizontal="center"/>
    </xf>
    <xf numFmtId="4" fontId="0" fillId="0" borderId="0" xfId="0" applyNumberFormat="1" applyBorder="1" applyAlignment="1">
      <alignment horizontal="center"/>
    </xf>
    <xf numFmtId="0" fontId="3" fillId="6" borderId="45" xfId="0" applyFont="1" applyFill="1" applyBorder="1" applyAlignment="1">
      <alignment horizontal="center"/>
    </xf>
    <xf numFmtId="0" fontId="3" fillId="6" borderId="46" xfId="0" applyFont="1" applyFill="1" applyBorder="1" applyAlignment="1">
      <alignment horizontal="center"/>
    </xf>
    <xf numFmtId="0" fontId="3" fillId="6" borderId="47" xfId="0" applyFont="1" applyFill="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0" fillId="0" borderId="0" xfId="0" applyAlignment="1">
      <alignment horizontal="center"/>
    </xf>
  </cellXfs>
  <cellStyles count="8">
    <cellStyle name="Gut" xfId="7" builtinId="26"/>
    <cellStyle name="Komma" xfId="1" builtinId="3"/>
    <cellStyle name="Komma 2" xfId="4"/>
    <cellStyle name="Link" xfId="2" builtinId="8"/>
    <cellStyle name="Prozent" xfId="3" builtinId="5"/>
    <cellStyle name="Prozent 2" xfId="6"/>
    <cellStyle name="Standard" xfId="0" builtinId="0"/>
    <cellStyle name="Standard_Lohntabellenrechner_BL_2010" xfId="5"/>
  </cellStyles>
  <dxfs count="31">
    <dxf>
      <fill>
        <patternFill>
          <bgColor rgb="FFFFFF99"/>
        </patternFill>
      </fill>
    </dxf>
    <dxf>
      <fill>
        <patternFill>
          <bgColor rgb="FF99CCFF"/>
        </patternFill>
      </fill>
    </dxf>
    <dxf>
      <fill>
        <patternFill>
          <bgColor rgb="FFCCFF99"/>
        </patternFill>
      </fill>
    </dxf>
    <dxf>
      <fill>
        <patternFill>
          <bgColor theme="0"/>
        </patternFill>
      </fill>
    </dxf>
    <dxf>
      <fill>
        <patternFill>
          <bgColor rgb="FFFFFF99"/>
        </patternFill>
      </fill>
    </dxf>
    <dxf>
      <fill>
        <patternFill>
          <bgColor rgb="FF99CCFF"/>
        </patternFill>
      </fill>
    </dxf>
    <dxf>
      <fill>
        <patternFill>
          <bgColor rgb="FFCCFF99"/>
        </patternFill>
      </fill>
    </dxf>
    <dxf>
      <fill>
        <patternFill>
          <bgColor theme="0"/>
        </patternFill>
      </fill>
    </dxf>
    <dxf>
      <font>
        <color theme="0"/>
      </font>
      <fill>
        <patternFill>
          <bgColor theme="0"/>
        </patternFill>
      </fill>
      <border>
        <left/>
        <right/>
        <top/>
        <bottom/>
        <vertical/>
        <horizontal/>
      </border>
    </dxf>
    <dxf>
      <font>
        <color theme="1"/>
      </font>
      <fill>
        <patternFill>
          <bgColor rgb="FFFFFFCC"/>
        </patternFill>
      </fill>
    </dxf>
    <dxf>
      <font>
        <color theme="1"/>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color theme="0"/>
      </font>
      <fill>
        <patternFill>
          <bgColor theme="0"/>
        </patternFill>
      </fill>
    </dxf>
    <dxf>
      <font>
        <color theme="0"/>
      </font>
      <fill>
        <patternFill>
          <bgColor theme="0"/>
        </patternFill>
      </fill>
      <border>
        <left/>
        <right/>
        <top/>
        <bottom/>
      </border>
    </dxf>
    <dxf>
      <font>
        <color theme="0"/>
      </font>
      <fill>
        <patternFill>
          <bgColor theme="0"/>
        </patternFill>
      </fill>
      <border>
        <left/>
        <right/>
        <top/>
        <bottom/>
        <vertical/>
        <horizontal/>
      </border>
    </dxf>
    <dxf>
      <font>
        <color rgb="FFFF0000"/>
      </font>
    </dxf>
    <dxf>
      <font>
        <color rgb="FFFF0000"/>
      </font>
    </dxf>
    <dxf>
      <fill>
        <patternFill>
          <bgColor theme="2" tint="-9.9948118533890809E-2"/>
        </patternFill>
      </fill>
      <border>
        <left style="hair">
          <color auto="1"/>
        </left>
        <right style="hair">
          <color auto="1"/>
        </right>
        <top style="hair">
          <color auto="1"/>
        </top>
        <bottom style="hair">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7" tint="0.79998168889431442"/>
        </patternFill>
      </fill>
      <border>
        <left style="hair">
          <color auto="1"/>
        </left>
        <right style="hair">
          <color auto="1"/>
        </right>
        <top style="hair">
          <color auto="1"/>
        </top>
        <bottom style="hair">
          <color auto="1"/>
        </bottom>
        <vertical/>
        <horizontal/>
      </border>
    </dxf>
    <dxf>
      <fill>
        <patternFill>
          <bgColor theme="7" tint="0.79998168889431442"/>
        </patternFill>
      </fill>
      <border>
        <left style="hair">
          <color auto="1"/>
        </left>
        <right style="hair">
          <color auto="1"/>
        </right>
        <top style="hair">
          <color auto="1"/>
        </top>
        <bottom style="hair">
          <color auto="1"/>
        </bottom>
        <vertical/>
        <horizontal/>
      </border>
    </dxf>
    <dxf>
      <font>
        <color theme="0"/>
      </font>
      <fill>
        <patternFill>
          <bgColor theme="0"/>
        </patternFill>
      </fill>
      <border>
        <left/>
        <right/>
        <top/>
        <bottom/>
        <vertical/>
        <horizontal/>
      </border>
    </dxf>
    <dxf>
      <fill>
        <patternFill>
          <bgColor theme="7" tint="0.79998168889431442"/>
        </patternFill>
      </fill>
      <border>
        <left style="hair">
          <color auto="1"/>
        </left>
        <right style="hair">
          <color auto="1"/>
        </right>
        <top style="hair">
          <color auto="1"/>
        </top>
        <bottom style="hair">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FFFFCC"/>
      <color rgb="FFCC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2</xdr:row>
      <xdr:rowOff>76200</xdr:rowOff>
    </xdr:from>
    <xdr:to>
      <xdr:col>9</xdr:col>
      <xdr:colOff>116429</xdr:colOff>
      <xdr:row>4</xdr:row>
      <xdr:rowOff>90320</xdr:rowOff>
    </xdr:to>
    <xdr:pic>
      <xdr:nvPicPr>
        <xdr:cNvPr id="3" name="Grafik 3">
          <a:extLst>
            <a:ext uri="{FF2B5EF4-FFF2-40B4-BE49-F238E27FC236}">
              <a16:creationId xmlns:a16="http://schemas.microsoft.com/office/drawing/2014/main" id="{3F839957-397B-4962-8D29-CA427FDF6C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4050" y="438150"/>
          <a:ext cx="1783304" cy="376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617833</xdr:colOff>
      <xdr:row>1</xdr:row>
      <xdr:rowOff>274296</xdr:rowOff>
    </xdr:from>
    <xdr:to>
      <xdr:col>9</xdr:col>
      <xdr:colOff>2468052</xdr:colOff>
      <xdr:row>6</xdr:row>
      <xdr:rowOff>80621</xdr:rowOff>
    </xdr:to>
    <xdr:pic>
      <xdr:nvPicPr>
        <xdr:cNvPr id="2" name="Grafik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275"/>
        <a:stretch/>
      </xdr:blipFill>
      <xdr:spPr>
        <a:xfrm>
          <a:off x="8599783" y="274296"/>
          <a:ext cx="1850219" cy="863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sva-bl.ch/de/ausgleichskasse/familienzulagen/familienzulagen-fuer-arbeitnehm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46"/>
  <sheetViews>
    <sheetView showGridLines="0" workbookViewId="0">
      <selection activeCell="B8" sqref="B8"/>
    </sheetView>
  </sheetViews>
  <sheetFormatPr baseColWidth="10" defaultColWidth="11" defaultRowHeight="14.25" x14ac:dyDescent="0.2"/>
  <cols>
    <col min="1" max="1" width="9.125" style="137" customWidth="1"/>
    <col min="2" max="16384" width="11" style="137"/>
  </cols>
  <sheetData>
    <row r="4" spans="2:7" x14ac:dyDescent="0.2">
      <c r="B4" s="141" t="s">
        <v>207</v>
      </c>
    </row>
    <row r="6" spans="2:7" x14ac:dyDescent="0.2">
      <c r="B6" s="445" t="s">
        <v>206</v>
      </c>
      <c r="C6" s="446"/>
      <c r="D6" s="446"/>
      <c r="E6" s="446"/>
      <c r="F6" s="446"/>
      <c r="G6" s="446"/>
    </row>
    <row r="7" spans="2:7" x14ac:dyDescent="0.2">
      <c r="B7" s="447" t="s">
        <v>208</v>
      </c>
      <c r="C7" s="446"/>
      <c r="D7" s="446"/>
      <c r="E7" s="446"/>
      <c r="F7" s="446"/>
      <c r="G7" s="446"/>
    </row>
    <row r="8" spans="2:7" x14ac:dyDescent="0.2">
      <c r="B8" s="447" t="s">
        <v>209</v>
      </c>
      <c r="C8" s="446"/>
      <c r="D8" s="446"/>
      <c r="E8" s="446"/>
      <c r="F8" s="446"/>
      <c r="G8" s="446"/>
    </row>
    <row r="9" spans="2:7" x14ac:dyDescent="0.2">
      <c r="B9" s="446"/>
      <c r="C9" s="446"/>
      <c r="D9" s="446"/>
      <c r="E9" s="446"/>
      <c r="F9" s="446"/>
      <c r="G9" s="446"/>
    </row>
    <row r="10" spans="2:7" x14ac:dyDescent="0.2">
      <c r="B10" s="446"/>
      <c r="C10" s="446"/>
      <c r="D10" s="446"/>
      <c r="E10" s="446"/>
      <c r="F10" s="446"/>
      <c r="G10" s="446"/>
    </row>
    <row r="11" spans="2:7" x14ac:dyDescent="0.2">
      <c r="B11" s="446"/>
      <c r="C11" s="446"/>
      <c r="D11" s="446"/>
      <c r="E11" s="446"/>
      <c r="F11" s="446"/>
      <c r="G11" s="446"/>
    </row>
    <row r="12" spans="2:7" x14ac:dyDescent="0.2">
      <c r="B12" s="446"/>
      <c r="C12" s="446"/>
      <c r="D12" s="446"/>
      <c r="E12" s="446"/>
      <c r="F12" s="446"/>
      <c r="G12" s="446"/>
    </row>
    <row r="13" spans="2:7" x14ac:dyDescent="0.2">
      <c r="B13" s="446"/>
      <c r="C13" s="446"/>
      <c r="D13" s="446"/>
      <c r="E13" s="446"/>
      <c r="F13" s="446"/>
      <c r="G13" s="446"/>
    </row>
    <row r="14" spans="2:7" x14ac:dyDescent="0.2">
      <c r="B14" s="446"/>
      <c r="C14" s="446"/>
      <c r="D14" s="446"/>
      <c r="E14" s="446"/>
      <c r="F14" s="446"/>
      <c r="G14" s="446"/>
    </row>
    <row r="15" spans="2:7" x14ac:dyDescent="0.2">
      <c r="B15" s="446"/>
      <c r="C15" s="446"/>
      <c r="D15" s="446"/>
      <c r="E15" s="446"/>
      <c r="F15" s="446"/>
      <c r="G15" s="446"/>
    </row>
    <row r="16" spans="2:7" x14ac:dyDescent="0.2">
      <c r="B16" s="446"/>
      <c r="C16" s="446"/>
      <c r="D16" s="446"/>
      <c r="E16" s="446"/>
      <c r="F16" s="446"/>
      <c r="G16" s="446"/>
    </row>
    <row r="17" spans="2:7" x14ac:dyDescent="0.2">
      <c r="B17" s="446"/>
      <c r="C17" s="446"/>
      <c r="D17" s="446"/>
      <c r="E17" s="446"/>
      <c r="F17" s="446"/>
      <c r="G17" s="446"/>
    </row>
    <row r="18" spans="2:7" x14ac:dyDescent="0.2">
      <c r="B18" s="446"/>
      <c r="C18" s="446"/>
      <c r="D18" s="446"/>
      <c r="E18" s="446"/>
      <c r="F18" s="446"/>
      <c r="G18" s="446"/>
    </row>
    <row r="19" spans="2:7" x14ac:dyDescent="0.2">
      <c r="B19" s="446"/>
      <c r="C19" s="446"/>
      <c r="D19" s="446"/>
      <c r="E19" s="446"/>
      <c r="F19" s="446"/>
      <c r="G19" s="446"/>
    </row>
    <row r="20" spans="2:7" x14ac:dyDescent="0.2">
      <c r="B20" s="446"/>
      <c r="C20" s="446"/>
      <c r="D20" s="446"/>
      <c r="E20" s="446"/>
      <c r="F20" s="446"/>
      <c r="G20" s="446"/>
    </row>
    <row r="21" spans="2:7" x14ac:dyDescent="0.2">
      <c r="B21" s="446"/>
      <c r="C21" s="446"/>
      <c r="D21" s="446"/>
      <c r="E21" s="446"/>
      <c r="F21" s="446"/>
      <c r="G21" s="446"/>
    </row>
    <row r="22" spans="2:7" x14ac:dyDescent="0.2">
      <c r="B22" s="446"/>
      <c r="C22" s="446"/>
      <c r="D22" s="446"/>
      <c r="E22" s="446"/>
      <c r="F22" s="446"/>
      <c r="G22" s="446"/>
    </row>
    <row r="23" spans="2:7" x14ac:dyDescent="0.2">
      <c r="B23" s="446"/>
      <c r="C23" s="446"/>
      <c r="D23" s="446"/>
      <c r="E23" s="446"/>
      <c r="F23" s="446"/>
      <c r="G23" s="446"/>
    </row>
    <row r="24" spans="2:7" x14ac:dyDescent="0.2">
      <c r="B24" s="446"/>
      <c r="C24" s="446"/>
      <c r="D24" s="446"/>
      <c r="E24" s="446"/>
      <c r="F24" s="446"/>
      <c r="G24" s="446"/>
    </row>
    <row r="25" spans="2:7" x14ac:dyDescent="0.2">
      <c r="B25" s="446"/>
      <c r="C25" s="446"/>
      <c r="D25" s="446"/>
      <c r="E25" s="446"/>
      <c r="F25" s="446"/>
      <c r="G25" s="446"/>
    </row>
    <row r="26" spans="2:7" x14ac:dyDescent="0.2">
      <c r="B26" s="446"/>
      <c r="C26" s="446"/>
      <c r="D26" s="446"/>
      <c r="E26" s="446"/>
      <c r="F26" s="446"/>
      <c r="G26" s="446"/>
    </row>
    <row r="27" spans="2:7" x14ac:dyDescent="0.2">
      <c r="B27" s="446"/>
      <c r="C27" s="446"/>
      <c r="D27" s="446"/>
      <c r="E27" s="446"/>
      <c r="F27" s="446"/>
      <c r="G27" s="446"/>
    </row>
    <row r="28" spans="2:7" x14ac:dyDescent="0.2">
      <c r="B28" s="446"/>
      <c r="C28" s="446"/>
      <c r="D28" s="446"/>
      <c r="E28" s="446"/>
      <c r="F28" s="446"/>
      <c r="G28" s="446"/>
    </row>
    <row r="29" spans="2:7" x14ac:dyDescent="0.2">
      <c r="B29" s="446"/>
      <c r="C29" s="446"/>
      <c r="D29" s="446"/>
      <c r="E29" s="446"/>
      <c r="F29" s="446"/>
      <c r="G29" s="446"/>
    </row>
    <row r="30" spans="2:7" x14ac:dyDescent="0.2">
      <c r="B30" s="446"/>
      <c r="C30" s="446"/>
      <c r="D30" s="446"/>
      <c r="E30" s="446"/>
      <c r="F30" s="446"/>
      <c r="G30" s="446"/>
    </row>
    <row r="31" spans="2:7" x14ac:dyDescent="0.2">
      <c r="B31" s="446"/>
      <c r="C31" s="446"/>
      <c r="D31" s="446"/>
      <c r="E31" s="446"/>
      <c r="F31" s="446"/>
      <c r="G31" s="446"/>
    </row>
    <row r="32" spans="2:7" x14ac:dyDescent="0.2">
      <c r="B32" s="446"/>
      <c r="C32" s="446"/>
      <c r="D32" s="446"/>
      <c r="E32" s="446"/>
      <c r="F32" s="446"/>
      <c r="G32" s="446"/>
    </row>
    <row r="33" spans="2:7" x14ac:dyDescent="0.2">
      <c r="B33" s="446"/>
      <c r="C33" s="446"/>
      <c r="D33" s="446"/>
      <c r="E33" s="446"/>
      <c r="F33" s="446"/>
      <c r="G33" s="446"/>
    </row>
    <row r="34" spans="2:7" x14ac:dyDescent="0.2">
      <c r="B34" s="446"/>
      <c r="C34" s="446"/>
      <c r="D34" s="446"/>
      <c r="E34" s="446"/>
      <c r="F34" s="446"/>
      <c r="G34" s="446"/>
    </row>
    <row r="35" spans="2:7" x14ac:dyDescent="0.2">
      <c r="B35" s="446"/>
      <c r="C35" s="446"/>
      <c r="D35" s="446"/>
      <c r="E35" s="446"/>
      <c r="F35" s="446"/>
      <c r="G35" s="446"/>
    </row>
    <row r="36" spans="2:7" x14ac:dyDescent="0.2">
      <c r="B36" s="446"/>
      <c r="C36" s="446"/>
      <c r="D36" s="446"/>
      <c r="E36" s="446"/>
      <c r="F36" s="446"/>
      <c r="G36" s="446"/>
    </row>
    <row r="37" spans="2:7" x14ac:dyDescent="0.2">
      <c r="B37" s="446"/>
      <c r="C37" s="446"/>
      <c r="D37" s="446"/>
      <c r="E37" s="446"/>
      <c r="F37" s="446"/>
      <c r="G37" s="446"/>
    </row>
    <row r="38" spans="2:7" x14ac:dyDescent="0.2">
      <c r="B38" s="446"/>
      <c r="C38" s="446"/>
      <c r="D38" s="446"/>
      <c r="E38" s="446"/>
      <c r="F38" s="446"/>
      <c r="G38" s="446"/>
    </row>
    <row r="39" spans="2:7" x14ac:dyDescent="0.2">
      <c r="B39" s="446"/>
      <c r="C39" s="446"/>
      <c r="D39" s="446"/>
      <c r="E39" s="446"/>
      <c r="F39" s="446"/>
      <c r="G39" s="446"/>
    </row>
    <row r="40" spans="2:7" x14ac:dyDescent="0.2">
      <c r="B40" s="446"/>
      <c r="C40" s="446"/>
      <c r="D40" s="446"/>
      <c r="E40" s="446"/>
      <c r="F40" s="446"/>
      <c r="G40" s="446"/>
    </row>
    <row r="41" spans="2:7" x14ac:dyDescent="0.2">
      <c r="B41" s="446"/>
      <c r="C41" s="446"/>
      <c r="D41" s="446"/>
      <c r="E41" s="446"/>
      <c r="F41" s="446"/>
      <c r="G41" s="446"/>
    </row>
    <row r="42" spans="2:7" x14ac:dyDescent="0.2">
      <c r="B42" s="446"/>
      <c r="C42" s="446"/>
      <c r="D42" s="446"/>
      <c r="E42" s="446"/>
      <c r="F42" s="446"/>
      <c r="G42" s="446"/>
    </row>
    <row r="43" spans="2:7" x14ac:dyDescent="0.2">
      <c r="B43" s="446"/>
      <c r="C43" s="446"/>
      <c r="D43" s="446"/>
      <c r="E43" s="446"/>
      <c r="F43" s="446"/>
      <c r="G43" s="446"/>
    </row>
    <row r="44" spans="2:7" x14ac:dyDescent="0.2">
      <c r="B44" s="446"/>
      <c r="C44" s="446"/>
      <c r="D44" s="446"/>
      <c r="E44" s="446"/>
      <c r="F44" s="446"/>
      <c r="G44" s="446"/>
    </row>
    <row r="45" spans="2:7" x14ac:dyDescent="0.2">
      <c r="B45" s="446"/>
      <c r="C45" s="446"/>
      <c r="D45" s="446"/>
      <c r="E45" s="446"/>
      <c r="F45" s="446"/>
      <c r="G45" s="446"/>
    </row>
    <row r="46" spans="2:7" x14ac:dyDescent="0.2">
      <c r="B46" s="446"/>
      <c r="C46" s="446"/>
      <c r="D46" s="446"/>
      <c r="E46" s="446"/>
      <c r="F46" s="446"/>
      <c r="G46" s="446"/>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
  <sheetViews>
    <sheetView tabSelected="1" zoomScaleNormal="100" workbookViewId="0">
      <selection activeCell="D6" sqref="D6"/>
    </sheetView>
  </sheetViews>
  <sheetFormatPr baseColWidth="10" defaultColWidth="11" defaultRowHeight="14.25" x14ac:dyDescent="0.2"/>
  <cols>
    <col min="1" max="2" width="1.25" style="1" customWidth="1"/>
    <col min="3" max="3" width="29.875" style="1" customWidth="1"/>
    <col min="4" max="4" width="20.125" style="1" customWidth="1"/>
    <col min="5" max="5" width="1.5" style="1" customWidth="1"/>
    <col min="6" max="6" width="16.125" style="2" customWidth="1"/>
    <col min="7" max="7" width="12.25" style="2" customWidth="1"/>
    <col min="8" max="8" width="12.5" style="2" bestFit="1" customWidth="1"/>
    <col min="9" max="9" width="12" style="2" customWidth="1"/>
    <col min="10" max="10" width="35.75" style="1" customWidth="1"/>
    <col min="11" max="11" width="1.625" style="1" customWidth="1"/>
    <col min="12" max="12" width="1" style="1" customWidth="1"/>
    <col min="13" max="14" width="11.25" style="1" bestFit="1" customWidth="1"/>
    <col min="15" max="16384" width="11" style="1"/>
  </cols>
  <sheetData>
    <row r="1" spans="1:13" ht="6.75" customHeight="1" x14ac:dyDescent="0.2">
      <c r="A1" s="302"/>
      <c r="B1" s="302"/>
      <c r="C1" s="422"/>
      <c r="D1" s="302"/>
      <c r="E1" s="302"/>
      <c r="F1" s="304"/>
      <c r="G1" s="304"/>
      <c r="H1" s="304"/>
      <c r="I1" s="304"/>
      <c r="J1" s="302"/>
      <c r="K1" s="302"/>
      <c r="L1" s="302"/>
    </row>
    <row r="2" spans="1:13" ht="22.5" customHeight="1" x14ac:dyDescent="0.2">
      <c r="A2" s="302"/>
      <c r="B2" s="387"/>
      <c r="C2" s="454" t="str">
        <f>CONCATENATE("Berechnung des Nettolohns (Arbeitnehmer), Kanton Basel-Landschaft (Stand ",Datensätze!A1,")")</f>
        <v>Berechnung des Nettolohns (Arbeitnehmer), Kanton Basel-Landschaft (Stand 2024)</v>
      </c>
      <c r="D2" s="454"/>
      <c r="E2" s="454"/>
      <c r="F2" s="454"/>
      <c r="G2" s="454"/>
      <c r="H2" s="454"/>
      <c r="I2" s="454"/>
      <c r="J2" s="388"/>
      <c r="K2" s="389"/>
      <c r="L2" s="302"/>
    </row>
    <row r="3" spans="1:13" ht="18" customHeight="1" x14ac:dyDescent="0.2">
      <c r="A3" s="302"/>
      <c r="B3" s="390"/>
      <c r="C3" s="322"/>
      <c r="D3" s="322"/>
      <c r="E3" s="322"/>
      <c r="F3" s="360" t="s">
        <v>51</v>
      </c>
      <c r="G3" s="324"/>
      <c r="H3" s="323"/>
      <c r="I3" s="453" t="str">
        <f>CONCATENATE("PHON / ",Lohntabelle24!L2)</f>
        <v>PHON / V_4.0</v>
      </c>
      <c r="J3" s="325"/>
      <c r="K3" s="391"/>
      <c r="L3" s="302"/>
    </row>
    <row r="4" spans="1:13" ht="18" customHeight="1" x14ac:dyDescent="0.2">
      <c r="A4" s="302"/>
      <c r="B4" s="390"/>
      <c r="C4" s="354" t="s">
        <v>137</v>
      </c>
      <c r="D4" s="355" t="str">
        <f>IFERROR(IF(D6="","",IF(D8="","",ROUND((($D$6/$D$8*100%)*20),0)/20)),0)</f>
        <v/>
      </c>
      <c r="E4" s="327"/>
      <c r="F4" s="457" t="s">
        <v>138</v>
      </c>
      <c r="G4" s="457"/>
      <c r="H4" s="355" t="str">
        <f>IF(D4="","",D4*13)</f>
        <v/>
      </c>
      <c r="I4" s="411" t="s">
        <v>140</v>
      </c>
      <c r="J4" s="329"/>
      <c r="K4" s="392"/>
      <c r="L4" s="311"/>
    </row>
    <row r="5" spans="1:13" ht="6.75" customHeight="1" x14ac:dyDescent="0.2">
      <c r="A5" s="302"/>
      <c r="B5" s="390"/>
      <c r="C5" s="326"/>
      <c r="D5" s="327"/>
      <c r="E5" s="327"/>
      <c r="F5" s="328"/>
      <c r="G5" s="328"/>
      <c r="H5" s="327"/>
      <c r="I5" s="303"/>
      <c r="J5" s="329"/>
      <c r="K5" s="392"/>
      <c r="L5" s="311"/>
    </row>
    <row r="6" spans="1:13" ht="18" customHeight="1" x14ac:dyDescent="0.2">
      <c r="A6" s="302"/>
      <c r="B6" s="390"/>
      <c r="C6" s="326" t="str">
        <f>IF(D6="","bitte Bruttolohn pro Monat erfassen",IF(OR(D8="",J8=2),"aktueller Bruttolohn pro Monat",CONCATENATE(F16," (",D8*100,"%)")))</f>
        <v>bitte Bruttolohn pro Monat erfassen</v>
      </c>
      <c r="D6" s="299"/>
      <c r="E6" s="312"/>
      <c r="F6" s="460" t="str">
        <f>IF(D6="","",IF(D8="","aktueller Bruttolohn pro Jahr",CONCATENATE(G16," (",D8*100,"%)")))</f>
        <v/>
      </c>
      <c r="G6" s="460"/>
      <c r="H6" s="312" t="str">
        <f>IF(D6="","",D6*13)</f>
        <v/>
      </c>
      <c r="I6" s="305"/>
      <c r="J6" s="332"/>
      <c r="K6" s="393"/>
      <c r="L6" s="311"/>
    </row>
    <row r="7" spans="1:13" ht="7.5" customHeight="1" x14ac:dyDescent="0.2">
      <c r="A7" s="302"/>
      <c r="B7" s="390"/>
      <c r="C7" s="326"/>
      <c r="D7" s="312"/>
      <c r="E7" s="312"/>
      <c r="F7" s="330"/>
      <c r="G7" s="331"/>
      <c r="H7" s="312"/>
      <c r="I7" s="305"/>
      <c r="J7" s="332"/>
      <c r="K7" s="393"/>
      <c r="L7" s="311"/>
    </row>
    <row r="8" spans="1:13" ht="18" customHeight="1" x14ac:dyDescent="0.2">
      <c r="A8" s="302"/>
      <c r="B8" s="390"/>
      <c r="C8" s="326" t="s">
        <v>141</v>
      </c>
      <c r="D8" s="382"/>
      <c r="E8" s="378"/>
      <c r="F8" s="353" t="str">
        <f>IF(J8=2,"bitte Beschäftigungsgrad prüfen!","*aktueller Beschäftigungsgrad (in Stellenprozent) erfassen")</f>
        <v>*aktueller Beschäftigungsgrad (in Stellenprozent) erfassen</v>
      </c>
      <c r="G8" s="308"/>
      <c r="H8" s="308"/>
      <c r="I8" s="308"/>
      <c r="J8" s="376">
        <f>IF(D8="",1,IF(OR(D8=0,D8&gt;100%),2,3))</f>
        <v>1</v>
      </c>
      <c r="K8" s="408"/>
      <c r="L8" s="311"/>
    </row>
    <row r="9" spans="1:13" ht="6" customHeight="1" x14ac:dyDescent="0.2">
      <c r="A9" s="302"/>
      <c r="B9" s="390"/>
      <c r="C9" s="310"/>
      <c r="D9" s="378"/>
      <c r="E9" s="378"/>
      <c r="F9" s="309"/>
      <c r="G9" s="308"/>
      <c r="H9" s="308"/>
      <c r="I9" s="308"/>
      <c r="J9" s="376">
        <f>IF(D10="",1,IF(OR(D10=0,D10&gt;100%),2,3))</f>
        <v>1</v>
      </c>
      <c r="K9" s="408"/>
      <c r="L9" s="311"/>
    </row>
    <row r="10" spans="1:13" ht="18" customHeight="1" x14ac:dyDescent="0.2">
      <c r="A10" s="302"/>
      <c r="B10" s="390"/>
      <c r="C10" s="326" t="s">
        <v>190</v>
      </c>
      <c r="D10" s="382"/>
      <c r="E10" s="378"/>
      <c r="F10" s="353" t="str">
        <f>IF(J9=2,"bitte Beschäftigungsgrad prüfen!","*falls gewünscht hier neuer Beschäftigungsgrad (in Stellenprozent) erfassen, ansonsten leer lassen")</f>
        <v>*falls gewünscht hier neuer Beschäftigungsgrad (in Stellenprozent) erfassen, ansonsten leer lassen</v>
      </c>
      <c r="G10" s="308"/>
      <c r="H10" s="308"/>
      <c r="I10" s="308"/>
      <c r="J10" s="333"/>
      <c r="K10" s="394">
        <f>IF(D8&lt;&gt;D10,1,0)</f>
        <v>0</v>
      </c>
      <c r="L10" s="311"/>
    </row>
    <row r="11" spans="1:13" ht="6.75" customHeight="1" x14ac:dyDescent="0.2">
      <c r="A11" s="302"/>
      <c r="B11" s="390"/>
      <c r="C11" s="310"/>
      <c r="D11" s="378"/>
      <c r="E11" s="378"/>
      <c r="F11" s="309"/>
      <c r="G11" s="308"/>
      <c r="H11" s="308"/>
      <c r="I11" s="308"/>
      <c r="J11" s="376">
        <f ca="1">IFERROR(IF(OR(D14="",D14&gt;=J12),1,IF(J14&gt;100,2,0)),3)</f>
        <v>1</v>
      </c>
      <c r="K11" s="408"/>
      <c r="L11" s="311"/>
    </row>
    <row r="12" spans="1:13" ht="18" customHeight="1" x14ac:dyDescent="0.2">
      <c r="A12" s="302"/>
      <c r="B12" s="390"/>
      <c r="C12" s="356" t="str">
        <f>CONCATENATE(I12," (",D10*100,"%",")")</f>
        <v>zukünftiger Bruttolohn pro Monat (0%)</v>
      </c>
      <c r="D12" s="357">
        <f>IFERROR(IF(D10="",D6,ROUND((($D$6/$D$8*$D$10)*20),0)/20),0)</f>
        <v>0</v>
      </c>
      <c r="E12" s="327"/>
      <c r="F12" s="458" t="str">
        <f>CONCATENATE(I4," (",D10*100,"%",")")</f>
        <v>zukünftiger Bruttolohn pro Jahr (0%)</v>
      </c>
      <c r="G12" s="458"/>
      <c r="H12" s="357">
        <f>D12*13</f>
        <v>0</v>
      </c>
      <c r="I12" s="411" t="s">
        <v>139</v>
      </c>
      <c r="J12" s="377">
        <f ca="1">TODAY()</f>
        <v>45302</v>
      </c>
      <c r="K12" s="395">
        <v>0</v>
      </c>
      <c r="L12" s="311"/>
    </row>
    <row r="13" spans="1:13" ht="6" customHeight="1" x14ac:dyDescent="0.2">
      <c r="A13" s="302"/>
      <c r="B13" s="390"/>
      <c r="C13" s="326"/>
      <c r="D13" s="327"/>
      <c r="E13" s="327"/>
      <c r="F13" s="328"/>
      <c r="G13" s="328"/>
      <c r="H13" s="327"/>
      <c r="I13" s="303"/>
      <c r="J13" s="333"/>
      <c r="K13" s="408"/>
      <c r="L13" s="311"/>
    </row>
    <row r="14" spans="1:13" ht="18" customHeight="1" x14ac:dyDescent="0.2">
      <c r="A14" s="302"/>
      <c r="B14" s="390"/>
      <c r="C14" s="326" t="s">
        <v>45</v>
      </c>
      <c r="D14" s="383"/>
      <c r="E14" s="379"/>
      <c r="F14" s="456" t="str">
        <f ca="1">IF(OR(D14&gt;=J12,J11=2),"bitte Geburtsdatum prüfen!",IF(OR(YEAR(TODAY())-YEAR(D14)&lt;18,YEAR(TODAY())-YEAR(D14)&gt;64),"Geburtsdatum prüfen",""))</f>
        <v>Geburtsdatum prüfen</v>
      </c>
      <c r="G14" s="456"/>
      <c r="H14" s="456"/>
      <c r="I14" s="306"/>
      <c r="J14" s="362">
        <f ca="1">IFERROR(DATEDIF(D14,TODAY(),"y"),0)</f>
        <v>124</v>
      </c>
      <c r="K14" s="409"/>
      <c r="L14" s="311"/>
      <c r="M14" s="358"/>
    </row>
    <row r="15" spans="1:13" ht="5.25" customHeight="1" x14ac:dyDescent="0.2">
      <c r="A15" s="302"/>
      <c r="B15" s="390"/>
      <c r="C15" s="310"/>
      <c r="D15" s="379"/>
      <c r="E15" s="379"/>
      <c r="F15" s="307"/>
      <c r="G15" s="307"/>
      <c r="H15" s="307"/>
      <c r="I15" s="306"/>
      <c r="J15" s="329"/>
      <c r="K15" s="410"/>
      <c r="L15" s="311"/>
    </row>
    <row r="16" spans="1:13" ht="18" customHeight="1" x14ac:dyDescent="0.2">
      <c r="A16" s="302"/>
      <c r="B16" s="390"/>
      <c r="C16" s="359" t="s">
        <v>92</v>
      </c>
      <c r="D16" s="384"/>
      <c r="E16" s="380"/>
      <c r="F16" s="361" t="s">
        <v>136</v>
      </c>
      <c r="G16" s="361" t="s">
        <v>135</v>
      </c>
      <c r="H16" s="307"/>
      <c r="I16" s="307"/>
      <c r="J16" s="329"/>
      <c r="K16" s="392"/>
      <c r="L16" s="311"/>
    </row>
    <row r="17" spans="1:12" ht="6" customHeight="1" x14ac:dyDescent="0.2">
      <c r="A17" s="302"/>
      <c r="B17" s="390"/>
      <c r="C17" s="310"/>
      <c r="D17" s="380"/>
      <c r="E17" s="380"/>
      <c r="F17" s="307"/>
      <c r="G17" s="307"/>
      <c r="H17" s="307"/>
      <c r="I17" s="307"/>
      <c r="J17" s="329"/>
      <c r="K17" s="392"/>
      <c r="L17" s="311"/>
    </row>
    <row r="18" spans="1:12" ht="18" customHeight="1" x14ac:dyDescent="0.2">
      <c r="A18" s="302"/>
      <c r="B18" s="390"/>
      <c r="C18" s="326" t="s">
        <v>145</v>
      </c>
      <c r="D18" s="385" t="s">
        <v>79</v>
      </c>
      <c r="E18" s="380"/>
      <c r="F18" s="441" t="str">
        <f>IF(D18="ja","*die Zulagen können hier nicht abgebildet werden, entnehmen Sie diese bitte der Lohnabrechnung!","")</f>
        <v/>
      </c>
      <c r="G18" s="307"/>
      <c r="H18" s="307"/>
      <c r="I18" s="307"/>
      <c r="J18" s="329"/>
      <c r="K18" s="392"/>
      <c r="L18" s="311"/>
    </row>
    <row r="19" spans="1:12" ht="6.75" customHeight="1" x14ac:dyDescent="0.2">
      <c r="A19" s="302"/>
      <c r="B19" s="390"/>
      <c r="C19" s="310"/>
      <c r="D19" s="380"/>
      <c r="E19" s="380"/>
      <c r="F19" s="308"/>
      <c r="G19" s="307"/>
      <c r="H19" s="307"/>
      <c r="I19" s="307"/>
      <c r="J19" s="329"/>
      <c r="K19" s="392"/>
      <c r="L19" s="311"/>
    </row>
    <row r="20" spans="1:12" ht="18" customHeight="1" x14ac:dyDescent="0.2">
      <c r="A20" s="302"/>
      <c r="B20" s="390"/>
      <c r="C20" s="326" t="s">
        <v>101</v>
      </c>
      <c r="D20" s="385"/>
      <c r="E20" s="380"/>
      <c r="F20" s="353" t="s">
        <v>103</v>
      </c>
      <c r="G20" s="308"/>
      <c r="H20" s="307"/>
      <c r="I20" s="307"/>
      <c r="J20" s="424" t="s">
        <v>102</v>
      </c>
      <c r="K20" s="396">
        <f>IF(AND(D20="",D22=""),0,IF(AND(D20="",D22=0),0,IF(AND(D22="",D20=0),0,IF(AND(D20=0,D22=0),0,1))))</f>
        <v>0</v>
      </c>
      <c r="L20" s="311"/>
    </row>
    <row r="21" spans="1:12" ht="6" customHeight="1" x14ac:dyDescent="0.2">
      <c r="A21" s="302"/>
      <c r="B21" s="390"/>
      <c r="C21" s="310"/>
      <c r="D21" s="380"/>
      <c r="E21" s="380"/>
      <c r="F21" s="309"/>
      <c r="G21" s="308"/>
      <c r="H21" s="307"/>
      <c r="I21" s="307"/>
      <c r="J21" s="334"/>
      <c r="K21" s="392"/>
      <c r="L21" s="311"/>
    </row>
    <row r="22" spans="1:12" ht="18" customHeight="1" x14ac:dyDescent="0.2">
      <c r="A22" s="302"/>
      <c r="B22" s="390"/>
      <c r="C22" s="326" t="s">
        <v>105</v>
      </c>
      <c r="D22" s="386"/>
      <c r="E22" s="381"/>
      <c r="F22" s="353" t="s">
        <v>104</v>
      </c>
      <c r="G22" s="308"/>
      <c r="H22" s="307"/>
      <c r="I22" s="307"/>
      <c r="J22" s="335"/>
      <c r="K22" s="392"/>
      <c r="L22" s="311"/>
    </row>
    <row r="23" spans="1:12" ht="5.25" customHeight="1" x14ac:dyDescent="0.2">
      <c r="A23" s="302"/>
      <c r="B23" s="390"/>
      <c r="C23" s="310"/>
      <c r="D23" s="381"/>
      <c r="E23" s="381"/>
      <c r="F23" s="309"/>
      <c r="G23" s="308"/>
      <c r="H23" s="307"/>
      <c r="I23" s="307"/>
      <c r="J23" s="335"/>
      <c r="K23" s="392"/>
      <c r="L23" s="311"/>
    </row>
    <row r="24" spans="1:12" ht="18" customHeight="1" x14ac:dyDescent="0.2">
      <c r="A24" s="302"/>
      <c r="B24" s="390"/>
      <c r="C24" s="326" t="s">
        <v>38</v>
      </c>
      <c r="D24" s="385" t="s">
        <v>79</v>
      </c>
      <c r="E24" s="380"/>
      <c r="F24" s="353" t="s">
        <v>144</v>
      </c>
      <c r="G24" s="308"/>
      <c r="H24" s="308"/>
      <c r="I24" s="308"/>
      <c r="J24" s="336"/>
      <c r="K24" s="397"/>
      <c r="L24" s="302"/>
    </row>
    <row r="25" spans="1:12" ht="6.75" customHeight="1" x14ac:dyDescent="0.2">
      <c r="A25" s="302"/>
      <c r="B25" s="390"/>
      <c r="C25" s="310"/>
      <c r="D25" s="380"/>
      <c r="E25" s="380"/>
      <c r="F25" s="309"/>
      <c r="G25" s="308"/>
      <c r="H25" s="308"/>
      <c r="I25" s="308"/>
      <c r="J25" s="336"/>
      <c r="K25" s="397"/>
      <c r="L25" s="302"/>
    </row>
    <row r="26" spans="1:12" ht="18" customHeight="1" x14ac:dyDescent="0.2">
      <c r="A26" s="302"/>
      <c r="B26" s="390"/>
      <c r="C26" s="326" t="s">
        <v>77</v>
      </c>
      <c r="D26" s="385" t="s">
        <v>79</v>
      </c>
      <c r="E26" s="380"/>
      <c r="F26" s="353" t="s">
        <v>106</v>
      </c>
      <c r="G26" s="308"/>
      <c r="H26" s="308"/>
      <c r="I26" s="308"/>
      <c r="J26" s="336"/>
      <c r="K26" s="397"/>
      <c r="L26" s="302"/>
    </row>
    <row r="27" spans="1:12" ht="6" customHeight="1" x14ac:dyDescent="0.2">
      <c r="A27" s="302"/>
      <c r="B27" s="390"/>
      <c r="C27" s="310"/>
      <c r="D27" s="380"/>
      <c r="E27" s="380"/>
      <c r="F27" s="309"/>
      <c r="G27" s="308"/>
      <c r="H27" s="308"/>
      <c r="I27" s="308"/>
      <c r="J27" s="336"/>
      <c r="K27" s="397"/>
      <c r="L27" s="302"/>
    </row>
    <row r="28" spans="1:12" ht="18" customHeight="1" x14ac:dyDescent="0.2">
      <c r="A28" s="302"/>
      <c r="B28" s="390"/>
      <c r="C28" s="326" t="s">
        <v>148</v>
      </c>
      <c r="D28" s="385" t="s">
        <v>79</v>
      </c>
      <c r="E28" s="380"/>
      <c r="F28" s="353" t="s">
        <v>114</v>
      </c>
      <c r="G28" s="308"/>
      <c r="H28" s="307"/>
      <c r="I28" s="307"/>
      <c r="J28" s="335"/>
      <c r="K28" s="392"/>
      <c r="L28" s="311"/>
    </row>
    <row r="29" spans="1:12" ht="6" customHeight="1" x14ac:dyDescent="0.2">
      <c r="A29" s="302"/>
      <c r="B29" s="390"/>
      <c r="C29" s="310"/>
      <c r="D29" s="380"/>
      <c r="E29" s="380"/>
      <c r="F29" s="308"/>
      <c r="G29" s="308"/>
      <c r="H29" s="307"/>
      <c r="I29" s="307"/>
      <c r="J29" s="335"/>
      <c r="K29" s="392"/>
      <c r="L29" s="311"/>
    </row>
    <row r="30" spans="1:12" x14ac:dyDescent="0.2">
      <c r="A30" s="302"/>
      <c r="B30" s="390"/>
      <c r="C30" s="364" t="s">
        <v>126</v>
      </c>
      <c r="D30" s="365">
        <f>IFERROR(VLOOKUP(D28,Lohntabelle24!AH6:AO33,8,0),0)</f>
        <v>0</v>
      </c>
      <c r="E30" s="337"/>
      <c r="F30" s="366" t="str">
        <f>IF(D30="Lohnband prüfen","Ihr Gehalt befindet sich ausserhalb des gewählten Lohnbandes!","* das Quartil widerspiegelt den Erfahrungswert (EW) / (Unterfunktionslohn und 1. - 4. Quartil)")</f>
        <v>* das Quartil widerspiegelt den Erfahrungswert (EW) / (Unterfunktionslohn und 1. - 4. Quartil)</v>
      </c>
      <c r="G30" s="338"/>
      <c r="H30" s="330"/>
      <c r="I30" s="330"/>
      <c r="J30" s="321"/>
      <c r="K30" s="397"/>
      <c r="L30" s="302"/>
    </row>
    <row r="31" spans="1:12" ht="22.5" customHeight="1" x14ac:dyDescent="0.2">
      <c r="A31" s="302"/>
      <c r="B31" s="390"/>
      <c r="C31" s="326"/>
      <c r="D31" s="326"/>
      <c r="E31" s="326"/>
      <c r="F31" s="339"/>
      <c r="G31" s="339"/>
      <c r="H31" s="339"/>
      <c r="I31" s="339"/>
      <c r="J31" s="340"/>
      <c r="K31" s="397"/>
      <c r="L31" s="302"/>
    </row>
    <row r="32" spans="1:12" ht="18" customHeight="1" x14ac:dyDescent="0.2">
      <c r="A32" s="302"/>
      <c r="B32" s="390"/>
      <c r="C32" s="412" t="s">
        <v>0</v>
      </c>
      <c r="D32" s="413" t="s">
        <v>5</v>
      </c>
      <c r="E32" s="341"/>
      <c r="F32" s="342" t="s">
        <v>46</v>
      </c>
      <c r="G32" s="342" t="s">
        <v>1</v>
      </c>
      <c r="H32" s="330"/>
      <c r="I32" s="342"/>
      <c r="J32" s="317"/>
      <c r="K32" s="397"/>
      <c r="L32" s="302"/>
    </row>
    <row r="33" spans="1:15" ht="18" customHeight="1" x14ac:dyDescent="0.2">
      <c r="A33" s="302"/>
      <c r="B33" s="390"/>
      <c r="C33" s="414" t="s">
        <v>47</v>
      </c>
      <c r="D33" s="300">
        <f>IF(D8="",0,ROUND((D12*F33)*20,0)/20)</f>
        <v>0</v>
      </c>
      <c r="E33" s="312"/>
      <c r="F33" s="343">
        <f>Datensätze!C3</f>
        <v>5.2999999999999999E-2</v>
      </c>
      <c r="G33" s="344" t="s">
        <v>2</v>
      </c>
      <c r="H33" s="310" t="s">
        <v>48</v>
      </c>
      <c r="I33" s="330"/>
      <c r="J33" s="345"/>
      <c r="K33" s="391"/>
      <c r="L33" s="302"/>
      <c r="M33" s="18"/>
    </row>
    <row r="34" spans="1:15" ht="18" customHeight="1" x14ac:dyDescent="0.2">
      <c r="A34" s="302"/>
      <c r="B34" s="390"/>
      <c r="C34" s="363" t="s">
        <v>36</v>
      </c>
      <c r="D34" s="300">
        <f>IFERROR(IF(D8="",0,IF(AND('Berechnung Nettolohn'!D16=Datensätze!N3,Datensätze!C34&gt;Datensätze!C4),0,IF(AND('Berechnung Nettolohn'!D16=Datensätze!N4,Datensätze!C34&gt;Datensätze!C5),0,ROUND((IF(H12&lt;G34,D12*F34,G34/12*F34))*20,0)/20))),0)</f>
        <v>0</v>
      </c>
      <c r="E34" s="423">
        <f>IF(D8="",0,IF(D8&lt;=Datensätze!G8,0,1))</f>
        <v>0</v>
      </c>
      <c r="F34" s="343">
        <f>Datensätze!C6</f>
        <v>1.0999999999999999E-2</v>
      </c>
      <c r="G34" s="346">
        <f>Datensätze!E6</f>
        <v>148200</v>
      </c>
      <c r="H34" s="310" t="s">
        <v>3</v>
      </c>
      <c r="I34" s="330"/>
      <c r="J34" s="345"/>
      <c r="K34" s="398"/>
      <c r="L34" s="302"/>
      <c r="M34" s="18"/>
    </row>
    <row r="35" spans="1:15" ht="18" hidden="1" customHeight="1" x14ac:dyDescent="0.2">
      <c r="A35" s="302"/>
      <c r="B35" s="390"/>
      <c r="C35" s="363" t="s">
        <v>37</v>
      </c>
      <c r="D35" s="300">
        <f>ROUND((IF(H12&gt;G34,((H12-G34)/13)*F35))/5,2)*5</f>
        <v>0</v>
      </c>
      <c r="E35" s="312"/>
      <c r="F35" s="347">
        <f>Datensätze!C7</f>
        <v>0</v>
      </c>
      <c r="G35" s="346" t="s">
        <v>2</v>
      </c>
      <c r="H35" s="310" t="s">
        <v>44</v>
      </c>
      <c r="I35" s="330"/>
      <c r="J35" s="345"/>
      <c r="K35" s="399"/>
      <c r="L35" s="302"/>
      <c r="M35" s="18"/>
    </row>
    <row r="36" spans="1:15" ht="18" customHeight="1" x14ac:dyDescent="0.2">
      <c r="A36" s="302"/>
      <c r="B36" s="390"/>
      <c r="C36" s="363" t="s">
        <v>49</v>
      </c>
      <c r="D36" s="300">
        <f>IF(D8="",0,ROUND(IF(H12&lt;G36,H12/13*F36,(G36/12)*F36)*20,0)/20)</f>
        <v>0</v>
      </c>
      <c r="E36" s="423">
        <f>IF(D10="",0,IF(D10&lt;=Datensätze!G8,0,1))</f>
        <v>0</v>
      </c>
      <c r="F36" s="343">
        <f>IF(OR(E34=1,E36=1),Datensätze!C8,0)</f>
        <v>0</v>
      </c>
      <c r="G36" s="346">
        <f>Datensätze!E8</f>
        <v>148200</v>
      </c>
      <c r="H36" s="310" t="s">
        <v>69</v>
      </c>
      <c r="I36" s="330"/>
      <c r="J36" s="345"/>
      <c r="K36" s="397"/>
      <c r="L36" s="406"/>
      <c r="M36" s="20"/>
    </row>
    <row r="37" spans="1:15" ht="18" customHeight="1" x14ac:dyDescent="0.2">
      <c r="A37" s="302"/>
      <c r="B37" s="390"/>
      <c r="C37" s="363" t="s">
        <v>77</v>
      </c>
      <c r="D37" s="300">
        <f>IF('Berechnung Nettolohn'!D26=Datensätze!M2,0,IF('Berechnung Nettolohn'!D26=Datensätze!M3,0,IF('Berechnung Nettolohn'!D26=Datensätze!M4,Datensätze!C9,IF('Berechnung Nettolohn'!D26=Datensätze!M5,Datensätze!C10,IF('Berechnung Nettolohn'!D26=Datensätze!M6,Datensätze!C11,0)))))</f>
        <v>0</v>
      </c>
      <c r="E37" s="312"/>
      <c r="F37" s="343"/>
      <c r="G37" s="346"/>
      <c r="H37" s="310" t="s">
        <v>78</v>
      </c>
      <c r="I37" s="330"/>
      <c r="J37" s="345"/>
      <c r="K37" s="397"/>
      <c r="L37" s="406"/>
      <c r="M37" s="20"/>
    </row>
    <row r="38" spans="1:15" ht="18" customHeight="1" x14ac:dyDescent="0.2">
      <c r="A38" s="302"/>
      <c r="B38" s="390"/>
      <c r="C38" s="363" t="s">
        <v>56</v>
      </c>
      <c r="D38" s="300">
        <f>ROUND((G41/12*F38)*20,0)/20</f>
        <v>0</v>
      </c>
      <c r="E38" s="312"/>
      <c r="F38" s="343">
        <f>IF('Berechnung Nettolohn'!D24=Datensätze!K2,0,IF(Datensätze!C34&gt;=65,INDEX('PK-Tabelle'!A1:D100,MATCH(Datensätze!C34+1,'PK-Tabelle'!A1:A100),MATCH('Berechnung Nettolohn'!D24,'PK-Tabelle'!A1:D1)),INDEX('PK-Tabelle'!A1:D100,MATCH(Datensätze!B34,'PK-Tabelle'!A1:A100),MATCH('Berechnung Nettolohn'!D24,'PK-Tabelle'!A1:D1))))</f>
        <v>0</v>
      </c>
      <c r="G38" s="344" t="s">
        <v>34</v>
      </c>
      <c r="H38" s="310" t="s">
        <v>4</v>
      </c>
      <c r="I38" s="330"/>
      <c r="J38" s="345"/>
      <c r="K38" s="397"/>
      <c r="L38" s="406"/>
      <c r="M38" s="20"/>
    </row>
    <row r="39" spans="1:15" ht="18" customHeight="1" x14ac:dyDescent="0.2">
      <c r="A39" s="302"/>
      <c r="B39" s="390"/>
      <c r="C39" s="363" t="s">
        <v>57</v>
      </c>
      <c r="D39" s="300">
        <f>IFERROR(IF(D24=Datensätze!K2,0,ROUND((G41*F39/12)*20,0)/20),0)</f>
        <v>0</v>
      </c>
      <c r="E39" s="312"/>
      <c r="F39" s="343">
        <f>IFERROR(IF(D24=Datensätze!K2,0,IF(OR(Datensätze!C34&gt;=65,Datensätze!B34&lt;18),0,Datensätze!C16)),0)</f>
        <v>0</v>
      </c>
      <c r="G39" s="344" t="s">
        <v>34</v>
      </c>
      <c r="H39" s="310" t="s">
        <v>4</v>
      </c>
      <c r="I39" s="330"/>
      <c r="J39" s="345"/>
      <c r="K39" s="397"/>
      <c r="L39" s="406"/>
      <c r="M39" s="20"/>
    </row>
    <row r="40" spans="1:15" ht="18" customHeight="1" x14ac:dyDescent="0.2">
      <c r="A40" s="302"/>
      <c r="B40" s="390"/>
      <c r="C40" s="414" t="s">
        <v>58</v>
      </c>
      <c r="D40" s="300">
        <f>IFERROR(IF(D24=Datensätze!K2,0,IF(F40=0,0,IF(G41*F40&lt;=Datensätze!D17,Datensätze!D17/12,IF(G41*F40&gt;=Datensätze!E17,Datensätze!E17/12,ROUND((G41*F40/12)*20,0)/20)))),0)</f>
        <v>0</v>
      </c>
      <c r="E40" s="312"/>
      <c r="F40" s="348">
        <f>IFERROR(IF(D24=Datensätze!K2,0,IF(Datensätze!C34&gt;=70,0,IF(AND(D24='PK-Tabelle'!F15,Datensätze!C34&gt;=65),0,IF(Datensätze!B34&lt;18,0,Datensätze!C17)))),0)</f>
        <v>0</v>
      </c>
      <c r="G40" s="344" t="s">
        <v>34</v>
      </c>
      <c r="H40" s="310" t="s">
        <v>4</v>
      </c>
      <c r="I40" s="330"/>
      <c r="J40" s="345"/>
      <c r="K40" s="397"/>
      <c r="L40" s="407"/>
      <c r="M40" s="18"/>
      <c r="N40" s="18"/>
      <c r="O40" s="16"/>
    </row>
    <row r="41" spans="1:15" ht="18" customHeight="1" x14ac:dyDescent="0.2">
      <c r="A41" s="302"/>
      <c r="B41" s="390"/>
      <c r="C41" s="415" t="s">
        <v>127</v>
      </c>
      <c r="D41" s="416">
        <f>SUM(D33:D40)</f>
        <v>0</v>
      </c>
      <c r="E41" s="313"/>
      <c r="F41" s="319"/>
      <c r="G41" s="349">
        <f>IF(D10="",ROUND((H12-(MIN(H12/3,Datensätze!C18*D8)))/5,2)*5,ROUND((H12-(MIN(H12/3,Datensätze!C18*D10)))/5,2)*5)</f>
        <v>0</v>
      </c>
      <c r="H41" s="310" t="s">
        <v>128</v>
      </c>
      <c r="I41" s="330"/>
      <c r="J41" s="345"/>
      <c r="K41" s="397"/>
      <c r="L41" s="302"/>
      <c r="M41" s="17"/>
    </row>
    <row r="42" spans="1:15" ht="6.75" customHeight="1" x14ac:dyDescent="0.2">
      <c r="A42" s="302"/>
      <c r="B42" s="390"/>
      <c r="C42" s="326"/>
      <c r="D42" s="314"/>
      <c r="E42" s="314"/>
      <c r="F42" s="459"/>
      <c r="G42" s="459"/>
      <c r="H42" s="315"/>
      <c r="I42" s="310"/>
      <c r="J42" s="345"/>
      <c r="K42" s="397"/>
      <c r="L42" s="302"/>
      <c r="M42" s="17"/>
    </row>
    <row r="43" spans="1:15" ht="18" customHeight="1" x14ac:dyDescent="0.2">
      <c r="A43" s="302"/>
      <c r="B43" s="390"/>
      <c r="C43" s="417" t="s">
        <v>129</v>
      </c>
      <c r="D43" s="418">
        <f ca="1">IFERROR(IF(Datensätze!C34&lt;Datensätze!C4,'Berechnung Nettolohn'!K43,IF(OR(Datensätze!K30="Ja",Datensätze!K31="Ja"),'Berechnung Nettolohn'!K43,0)),0)</f>
        <v>0</v>
      </c>
      <c r="E43" s="316"/>
      <c r="F43" s="321"/>
      <c r="G43" s="373" t="str">
        <f>CONCATENATE("(",J46," x ","CHF ",Datensätze!C30," ",'Berechnung Nettolohn'!H45," / ",'Berechnung Nettolohn'!J47," x ","CHF ",Datensätze!C31," ",'Berechnung Nettolohn'!I45,")")</f>
        <v>(0 x CHF 200 Kinderzulagen / 0 x CHF 250 Ausbildungszulagen)</v>
      </c>
      <c r="H43" s="321"/>
      <c r="I43" s="330"/>
      <c r="J43" s="317"/>
      <c r="K43" s="400">
        <f>IF(AND(D20="",D22=""),0,SUM(('Berechnung Nettolohn'!D20*Datensätze!C30)+('Berechnung Nettolohn'!D22*Datensätze!C31)))</f>
        <v>0</v>
      </c>
      <c r="L43" s="302"/>
      <c r="M43" s="17"/>
    </row>
    <row r="44" spans="1:15" ht="18" customHeight="1" x14ac:dyDescent="0.2">
      <c r="A44" s="302"/>
      <c r="B44" s="390"/>
      <c r="C44" s="417" t="str">
        <f>CONCATENATE(C45," bei ",D45*100," %")</f>
        <v>Erziehungszulagen bei 0 %</v>
      </c>
      <c r="D44" s="418">
        <f ca="1">IF(D43=0,0,F45)</f>
        <v>0</v>
      </c>
      <c r="E44" s="316"/>
      <c r="F44" s="321"/>
      <c r="G44" s="374" t="str">
        <f>CONCATENATE("(Erziehungszulage bei einem Beschäftigungsgrad von 100% beträgt"," CHF ",K44,")")</f>
        <v>(Erziehungszulage bei einem Beschäftigungsgrad von 100% beträgt CHF 350.9)</v>
      </c>
      <c r="H44" s="321"/>
      <c r="I44" s="321"/>
      <c r="J44" s="321"/>
      <c r="K44" s="400">
        <f>IF('Berechnung Nettolohn'!D4&lt;=Datensätze!B26,Datensätze!C26,IF(AND('Berechnung Nettolohn'!D4&gt;=Datensätze!A27,'Berechnung Nettolohn'!D4&lt;=Datensätze!B27),Datensätze!C27,IF(AND('Berechnung Nettolohn'!D4&gt;=Datensätze!A28,'Berechnung Nettolohn'!D4&lt;=Datensätze!B28),Datensätze!C28,Datensätze!C29)))</f>
        <v>350.9</v>
      </c>
      <c r="L44" s="302"/>
      <c r="M44" s="17"/>
    </row>
    <row r="45" spans="1:15" ht="6.75" customHeight="1" x14ac:dyDescent="0.2">
      <c r="A45" s="302"/>
      <c r="B45" s="390"/>
      <c r="C45" s="372" t="s">
        <v>96</v>
      </c>
      <c r="D45" s="419">
        <f>IF(D10="",D8,D10)</f>
        <v>0</v>
      </c>
      <c r="E45" s="318"/>
      <c r="F45" s="371">
        <f ca="1">IF(D43=0,0,IF(D43="",0,IF(D10="",ROUND((K44*D8)*20,0)/20,ROUND((K44*D10)*20,0)/20)))</f>
        <v>0</v>
      </c>
      <c r="G45" s="319"/>
      <c r="H45" s="361" t="s">
        <v>130</v>
      </c>
      <c r="I45" s="370" t="s">
        <v>131</v>
      </c>
      <c r="J45" s="321"/>
      <c r="K45" s="397"/>
      <c r="L45" s="302"/>
      <c r="M45" s="17"/>
    </row>
    <row r="46" spans="1:15" ht="18" customHeight="1" x14ac:dyDescent="0.2">
      <c r="A46" s="302"/>
      <c r="B46" s="390"/>
      <c r="C46" s="420" t="str">
        <f>IF(D10="",CONCATENATE(H46," (",D8*100,"% Pensum)"),CONCATENATE(H46," (",D10*100,"% Pensum)"))</f>
        <v>Nettolohn pro Monat (0% Pensum)</v>
      </c>
      <c r="D46" s="301">
        <f>IF(D8="",0,ROUND((D12-SUM(D33:D40)+D43+D44)*20,0)/20)</f>
        <v>0</v>
      </c>
      <c r="E46" s="320"/>
      <c r="F46" s="367" t="s">
        <v>132</v>
      </c>
      <c r="G46" s="350"/>
      <c r="H46" s="369" t="s">
        <v>142</v>
      </c>
      <c r="I46" s="351"/>
      <c r="J46" s="375">
        <f>IF(D20=0,0,IF(D20="",0,D20))</f>
        <v>0</v>
      </c>
      <c r="K46" s="397"/>
      <c r="L46" s="302"/>
      <c r="M46" s="19"/>
    </row>
    <row r="47" spans="1:15" ht="18" customHeight="1" x14ac:dyDescent="0.2">
      <c r="A47" s="302"/>
      <c r="B47" s="390"/>
      <c r="C47" s="421" t="str">
        <f>IF(D10="",CONCATENATE(H47," (",D8*100,"% Pensum)"),CONCATENATE(H47," (",D10*100,"% Pensum)"))</f>
        <v>Nettolohn pro Jahr (0% Pensum)</v>
      </c>
      <c r="D47" s="301">
        <f>D46*13</f>
        <v>0</v>
      </c>
      <c r="E47" s="320"/>
      <c r="F47" s="367" t="s">
        <v>132</v>
      </c>
      <c r="G47" s="350"/>
      <c r="H47" s="368" t="s">
        <v>143</v>
      </c>
      <c r="I47" s="344"/>
      <c r="J47" s="375">
        <f>IF(D22=0,0,IF(D22="",0,D22))</f>
        <v>0</v>
      </c>
      <c r="K47" s="397"/>
      <c r="L47" s="302"/>
      <c r="M47" s="19"/>
    </row>
    <row r="48" spans="1:15" ht="30" customHeight="1" x14ac:dyDescent="0.2">
      <c r="A48" s="302"/>
      <c r="B48" s="390"/>
      <c r="C48" s="310"/>
      <c r="D48" s="310"/>
      <c r="E48" s="310"/>
      <c r="F48" s="344"/>
      <c r="G48" s="344"/>
      <c r="H48" s="344"/>
      <c r="I48" s="344"/>
      <c r="J48" s="317"/>
      <c r="K48" s="397"/>
      <c r="L48" s="302"/>
    </row>
    <row r="49" spans="1:12" ht="18" customHeight="1" x14ac:dyDescent="0.2">
      <c r="A49" s="302"/>
      <c r="B49" s="390"/>
      <c r="C49" s="352" t="s">
        <v>35</v>
      </c>
      <c r="D49" s="310"/>
      <c r="E49" s="310"/>
      <c r="F49" s="344"/>
      <c r="G49" s="344"/>
      <c r="H49" s="344"/>
      <c r="I49" s="344"/>
      <c r="J49" s="317"/>
      <c r="K49" s="397"/>
      <c r="L49" s="302"/>
    </row>
    <row r="50" spans="1:12" ht="15" customHeight="1" x14ac:dyDescent="0.2">
      <c r="A50" s="302"/>
      <c r="B50" s="390"/>
      <c r="C50" s="461" t="s">
        <v>198</v>
      </c>
      <c r="D50" s="461"/>
      <c r="E50" s="461"/>
      <c r="F50" s="461"/>
      <c r="G50" s="461"/>
      <c r="H50" s="461"/>
      <c r="I50" s="461"/>
      <c r="J50" s="461"/>
      <c r="K50" s="397"/>
      <c r="L50" s="302"/>
    </row>
    <row r="51" spans="1:12" ht="15" customHeight="1" x14ac:dyDescent="0.2">
      <c r="A51" s="302"/>
      <c r="B51" s="390"/>
      <c r="C51" s="461" t="s">
        <v>193</v>
      </c>
      <c r="D51" s="461"/>
      <c r="E51" s="461"/>
      <c r="F51" s="461"/>
      <c r="G51" s="461"/>
      <c r="H51" s="461"/>
      <c r="I51" s="461"/>
      <c r="J51" s="461"/>
      <c r="K51" s="397"/>
      <c r="L51" s="302"/>
    </row>
    <row r="52" spans="1:12" ht="15" customHeight="1" x14ac:dyDescent="0.2">
      <c r="A52" s="302"/>
      <c r="B52" s="390"/>
      <c r="C52" s="461" t="s">
        <v>194</v>
      </c>
      <c r="D52" s="461"/>
      <c r="E52" s="461"/>
      <c r="F52" s="461"/>
      <c r="G52" s="461"/>
      <c r="H52" s="461"/>
      <c r="I52" s="461"/>
      <c r="J52" s="461"/>
      <c r="K52" s="397"/>
      <c r="L52" s="302"/>
    </row>
    <row r="53" spans="1:12" ht="15" customHeight="1" x14ac:dyDescent="0.2">
      <c r="A53" s="302"/>
      <c r="B53" s="390"/>
      <c r="C53" s="461" t="s">
        <v>195</v>
      </c>
      <c r="D53" s="461"/>
      <c r="E53" s="461"/>
      <c r="F53" s="461"/>
      <c r="G53" s="461"/>
      <c r="H53" s="461"/>
      <c r="I53" s="461"/>
      <c r="J53" s="461"/>
      <c r="K53" s="397"/>
      <c r="L53" s="302"/>
    </row>
    <row r="54" spans="1:12" ht="30" customHeight="1" x14ac:dyDescent="0.2">
      <c r="A54" s="302"/>
      <c r="B54" s="390"/>
      <c r="C54" s="462" t="s">
        <v>197</v>
      </c>
      <c r="D54" s="462"/>
      <c r="E54" s="462"/>
      <c r="F54" s="462"/>
      <c r="G54" s="462"/>
      <c r="H54" s="462"/>
      <c r="I54" s="462"/>
      <c r="J54" s="462"/>
      <c r="K54" s="397"/>
      <c r="L54" s="302"/>
    </row>
    <row r="55" spans="1:12" ht="15" customHeight="1" x14ac:dyDescent="0.2">
      <c r="A55" s="302"/>
      <c r="B55" s="390"/>
      <c r="C55" s="461" t="s">
        <v>107</v>
      </c>
      <c r="D55" s="461"/>
      <c r="E55" s="461"/>
      <c r="F55" s="461"/>
      <c r="G55" s="461"/>
      <c r="H55" s="461"/>
      <c r="I55" s="461"/>
      <c r="J55" s="461"/>
      <c r="K55" s="397"/>
      <c r="L55" s="302"/>
    </row>
    <row r="56" spans="1:12" ht="15" customHeight="1" x14ac:dyDescent="0.2">
      <c r="A56" s="302"/>
      <c r="B56" s="390"/>
      <c r="C56" s="461" t="s">
        <v>50</v>
      </c>
      <c r="D56" s="461"/>
      <c r="E56" s="461"/>
      <c r="F56" s="461"/>
      <c r="G56" s="461"/>
      <c r="H56" s="461"/>
      <c r="I56" s="461"/>
      <c r="J56" s="461"/>
      <c r="K56" s="397"/>
      <c r="L56" s="302"/>
    </row>
    <row r="57" spans="1:12" ht="18" customHeight="1" x14ac:dyDescent="0.2">
      <c r="A57" s="302"/>
      <c r="B57" s="401"/>
      <c r="C57" s="402"/>
      <c r="D57" s="403"/>
      <c r="E57" s="403"/>
      <c r="F57" s="404"/>
      <c r="G57" s="404"/>
      <c r="H57" s="404"/>
      <c r="I57" s="404"/>
      <c r="J57" s="403"/>
      <c r="K57" s="405"/>
      <c r="L57" s="302"/>
    </row>
    <row r="58" spans="1:12" ht="7.5" customHeight="1" x14ac:dyDescent="0.2">
      <c r="A58" s="302"/>
      <c r="B58" s="455"/>
      <c r="C58" s="455"/>
      <c r="D58" s="455"/>
      <c r="E58" s="455"/>
      <c r="F58" s="455"/>
      <c r="G58" s="455"/>
      <c r="H58" s="455"/>
      <c r="I58" s="455"/>
      <c r="J58" s="455"/>
      <c r="K58" s="455"/>
      <c r="L58" s="302"/>
    </row>
    <row r="59" spans="1:12" x14ac:dyDescent="0.2">
      <c r="C59" s="22"/>
      <c r="D59" s="16"/>
      <c r="E59" s="16"/>
      <c r="F59" s="21"/>
      <c r="G59" s="21"/>
      <c r="H59" s="21"/>
      <c r="I59" s="21"/>
      <c r="J59" s="16"/>
    </row>
    <row r="60" spans="1:12" x14ac:dyDescent="0.2">
      <c r="C60" s="3"/>
    </row>
    <row r="65" spans="3:3" x14ac:dyDescent="0.2">
      <c r="C65" s="3"/>
    </row>
    <row r="66" spans="3:3" x14ac:dyDescent="0.2">
      <c r="C66" s="3"/>
    </row>
    <row r="67" spans="3:3" x14ac:dyDescent="0.2">
      <c r="C67" s="3"/>
    </row>
    <row r="69" spans="3:3" x14ac:dyDescent="0.2">
      <c r="C69" s="3"/>
    </row>
    <row r="70" spans="3:3" x14ac:dyDescent="0.2">
      <c r="C70" s="3"/>
    </row>
    <row r="71" spans="3:3" x14ac:dyDescent="0.2">
      <c r="C71" s="3"/>
    </row>
    <row r="72" spans="3:3" x14ac:dyDescent="0.2">
      <c r="C72" s="4"/>
    </row>
    <row r="73" spans="3:3" x14ac:dyDescent="0.2">
      <c r="C73" s="4"/>
    </row>
    <row r="76" spans="3:3" x14ac:dyDescent="0.2">
      <c r="C76" s="3"/>
    </row>
    <row r="77" spans="3:3" x14ac:dyDescent="0.2">
      <c r="C77" s="3"/>
    </row>
    <row r="78" spans="3:3" x14ac:dyDescent="0.2">
      <c r="C78" s="3"/>
    </row>
    <row r="80" spans="3:3" x14ac:dyDescent="0.2">
      <c r="C80" s="3"/>
    </row>
    <row r="81" spans="3:3" x14ac:dyDescent="0.2">
      <c r="C81" s="3"/>
    </row>
    <row r="82" spans="3:3" x14ac:dyDescent="0.2">
      <c r="C82" s="3"/>
    </row>
    <row r="85" spans="3:3" x14ac:dyDescent="0.2">
      <c r="C85" s="3"/>
    </row>
    <row r="86" spans="3:3" x14ac:dyDescent="0.2">
      <c r="C86" s="3"/>
    </row>
    <row r="87" spans="3:3" x14ac:dyDescent="0.2">
      <c r="C87" s="3"/>
    </row>
    <row r="91" spans="3:3" x14ac:dyDescent="0.2">
      <c r="C91" s="3"/>
    </row>
    <row r="92" spans="3:3" x14ac:dyDescent="0.2">
      <c r="C92" s="3"/>
    </row>
    <row r="93" spans="3:3" x14ac:dyDescent="0.2">
      <c r="C93" s="3"/>
    </row>
    <row r="119" spans="3:3" x14ac:dyDescent="0.2">
      <c r="C119" s="3"/>
    </row>
  </sheetData>
  <sheetProtection algorithmName="SHA-512" hashValue="qfevhCyXmpqFGYsVbvTwGFLzzU23l/+0kz4zjOAqNFvtrZeq9zytsFayaQPFIweHBYXG4eocgrmdDTfUGYv96Q==" saltValue="4oOuNPXVaNXMmwlkMZFw+A==" spinCount="100000" sheet="1" selectLockedCells="1"/>
  <protectedRanges>
    <protectedRange sqref="D8:E11 D14:E29" name="Bereich1"/>
  </protectedRanges>
  <mergeCells count="14">
    <mergeCell ref="C2:I2"/>
    <mergeCell ref="B58:K58"/>
    <mergeCell ref="F14:H14"/>
    <mergeCell ref="F4:G4"/>
    <mergeCell ref="F12:G12"/>
    <mergeCell ref="F42:G42"/>
    <mergeCell ref="F6:G6"/>
    <mergeCell ref="C50:J50"/>
    <mergeCell ref="C51:J51"/>
    <mergeCell ref="C52:J52"/>
    <mergeCell ref="C53:J53"/>
    <mergeCell ref="C54:J54"/>
    <mergeCell ref="C55:J55"/>
    <mergeCell ref="C56:J56"/>
  </mergeCells>
  <phoneticPr fontId="2" type="noConversion"/>
  <conditionalFormatting sqref="C8:H8">
    <cfRule type="expression" dxfId="30" priority="30">
      <formula>$D$6=""</formula>
    </cfRule>
  </conditionalFormatting>
  <conditionalFormatting sqref="C4:H4">
    <cfRule type="expression" dxfId="29" priority="20">
      <formula>$D$10=100%</formula>
    </cfRule>
    <cfRule type="expression" dxfId="28" priority="26">
      <formula>$D$8=100%</formula>
    </cfRule>
    <cfRule type="expression" dxfId="27" priority="29">
      <formula>OR($J$8=1,$J$8=2)</formula>
    </cfRule>
  </conditionalFormatting>
  <conditionalFormatting sqref="F6:H6">
    <cfRule type="expression" dxfId="26" priority="24">
      <formula>$J$8=3</formula>
    </cfRule>
    <cfRule type="expression" dxfId="25" priority="28">
      <formula>OR($J$8=1,$J$8=2)</formula>
    </cfRule>
  </conditionalFormatting>
  <conditionalFormatting sqref="C6:D6">
    <cfRule type="expression" dxfId="24" priority="25">
      <formula>$J$8=3</formula>
    </cfRule>
  </conditionalFormatting>
  <conditionalFormatting sqref="C8:D8">
    <cfRule type="expression" dxfId="23" priority="23">
      <formula>$J$8=3</formula>
    </cfRule>
  </conditionalFormatting>
  <conditionalFormatting sqref="C12:H12">
    <cfRule type="expression" dxfId="22" priority="21">
      <formula>$D$10=$D$8</formula>
    </cfRule>
    <cfRule type="expression" dxfId="21" priority="22">
      <formula>OR($J$9=1,$J$9=2)</formula>
    </cfRule>
  </conditionalFormatting>
  <conditionalFormatting sqref="C10:D10">
    <cfRule type="expression" dxfId="20" priority="19">
      <formula>AND($J$9=3,$K$10=1)</formula>
    </cfRule>
  </conditionalFormatting>
  <conditionalFormatting sqref="F14:H14">
    <cfRule type="expression" dxfId="19" priority="11">
      <formula>$J$11=2</formula>
    </cfRule>
    <cfRule type="expression" dxfId="18" priority="17">
      <formula>$D$14&gt;$J$12</formula>
    </cfRule>
  </conditionalFormatting>
  <conditionalFormatting sqref="C10:F10">
    <cfRule type="expression" dxfId="17" priority="14">
      <formula>OR($J$8=1,$J$8=2)</formula>
    </cfRule>
  </conditionalFormatting>
  <conditionalFormatting sqref="C46:J49 G43:G44 C45:I45 C50:C56">
    <cfRule type="expression" dxfId="16" priority="7">
      <formula>OR($J$11=1,$J$11=2)</formula>
    </cfRule>
  </conditionalFormatting>
  <conditionalFormatting sqref="C14:D14">
    <cfRule type="expression" dxfId="15" priority="6">
      <formula>OR($J$8=1,$J$8=2)</formula>
    </cfRule>
  </conditionalFormatting>
  <conditionalFormatting sqref="F46:F47">
    <cfRule type="expression" dxfId="14" priority="3">
      <formula>$K$20=0</formula>
    </cfRule>
  </conditionalFormatting>
  <conditionalFormatting sqref="C42:H42 C43:E44 G43:G44 H45">
    <cfRule type="expression" dxfId="13" priority="4">
      <formula>$K$20=0</formula>
    </cfRule>
    <cfRule type="expression" dxfId="12" priority="5">
      <formula>AND($D$20="",$D$22="")</formula>
    </cfRule>
  </conditionalFormatting>
  <conditionalFormatting sqref="C18:J41">
    <cfRule type="expression" dxfId="11" priority="1">
      <formula>OR($J$11=1,$J$11=2)</formula>
    </cfRule>
  </conditionalFormatting>
  <hyperlinks>
    <hyperlink ref="J20" r:id="rId1"/>
  </hyperlinks>
  <printOptions horizontalCentered="1"/>
  <pageMargins left="0.25" right="0.25" top="0.75" bottom="0.75" header="0.3" footer="0.3"/>
  <pageSetup paperSize="9" scale="62" orientation="portrait" horizontalDpi="1200" verticalDpi="1200"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9" id="{44DFBCAB-9828-4F4A-A147-EE781837EF3D}">
            <xm:f>AND($J$14&gt;=Datensätze!$C$4,$J$14&lt;100)</xm:f>
            <x14:dxf>
              <font>
                <color theme="1"/>
              </font>
            </x14:dxf>
          </x14:cfRule>
          <xm:sqref>C16</xm:sqref>
        </x14:conditionalFormatting>
        <x14:conditionalFormatting xmlns:xm="http://schemas.microsoft.com/office/excel/2006/main">
          <x14:cfRule type="expression" priority="8" id="{BA76BC97-92E0-4D7E-8A2A-73335B2AECB3}">
            <xm:f>AND($J$14&gt;=Datensätze!$C$4,$J$14&lt;100)</xm:f>
            <x14:dxf>
              <font>
                <color theme="1"/>
              </font>
              <fill>
                <patternFill>
                  <bgColor rgb="FFFFFFCC"/>
                </patternFill>
              </fill>
            </x14:dxf>
          </x14:cfRule>
          <xm:sqref>D16</xm:sqref>
        </x14:conditionalFormatting>
        <x14:conditionalFormatting xmlns:xm="http://schemas.microsoft.com/office/excel/2006/main">
          <x14:cfRule type="expression" priority="2" id="{85ECBC20-A21D-471E-9F50-CA0BC037B6FF}">
            <xm:f>$D$28=Datensätze!$O$2</xm:f>
            <x14:dxf>
              <font>
                <color theme="0"/>
              </font>
              <fill>
                <patternFill>
                  <bgColor theme="0"/>
                </patternFill>
              </fill>
              <border>
                <left/>
                <right/>
                <top/>
                <bottom/>
                <vertical/>
                <horizontal/>
              </border>
            </x14:dxf>
          </x14:cfRule>
          <xm:sqref>C30:F30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Datensätze!$K$2:$K$5</xm:f>
          </x14:formula1>
          <xm:sqref>E24:E25 D24</xm:sqref>
        </x14:dataValidation>
        <x14:dataValidation type="list" allowBlank="1" showInputMessage="1" showErrorMessage="1">
          <x14:formula1>
            <xm:f>Datensätze!$M$2:$M$6</xm:f>
          </x14:formula1>
          <xm:sqref>E26:E27</xm:sqref>
        </x14:dataValidation>
        <x14:dataValidation type="list" allowBlank="1" showInputMessage="1" showErrorMessage="1">
          <x14:formula1>
            <xm:f>Datensätze!$N$2:$N$4</xm:f>
          </x14:formula1>
          <xm:sqref>E16:E17 D16</xm:sqref>
        </x14:dataValidation>
        <x14:dataValidation type="list" allowBlank="1" showInputMessage="1" showErrorMessage="1">
          <x14:formula1>
            <xm:f>Datensätze!$O$2:$O$32</xm:f>
          </x14:formula1>
          <xm:sqref>E28:E29 D28</xm:sqref>
        </x14:dataValidation>
        <x14:dataValidation type="list" allowBlank="1" showInputMessage="1" showErrorMessage="1">
          <x14:formula1>
            <xm:f>Datensätze!$P$2:$P$4</xm:f>
          </x14:formula1>
          <xm:sqref>E18:E19 D18</xm:sqref>
        </x14:dataValidation>
        <x14:dataValidation type="list" allowBlank="1" showInputMessage="1" showErrorMessage="1">
          <x14:formula1>
            <xm:f>Datensätze!$M$2:$M$5</xm:f>
          </x14:formula1>
          <xm:sqref>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D341"/>
  <sheetViews>
    <sheetView showGridLines="0" topLeftCell="H1" workbookViewId="0">
      <selection activeCell="H4" sqref="A4:XFD4"/>
    </sheetView>
  </sheetViews>
  <sheetFormatPr baseColWidth="10" defaultColWidth="11" defaultRowHeight="14.25" x14ac:dyDescent="0.2"/>
  <cols>
    <col min="1" max="2" width="0" style="5" hidden="1" customWidth="1"/>
    <col min="3" max="3" width="13.25" style="10" hidden="1" customWidth="1"/>
    <col min="4" max="5" width="11" style="10" hidden="1" customWidth="1"/>
    <col min="6" max="6" width="80.625" style="9" hidden="1" customWidth="1"/>
    <col min="7" max="7" width="11" style="10" hidden="1" customWidth="1"/>
    <col min="8" max="8" width="3.875" style="10" customWidth="1"/>
    <col min="9" max="9" width="1.875" style="10" customWidth="1"/>
    <col min="10" max="10" width="3" style="7" customWidth="1"/>
    <col min="11" max="11" width="13.625" style="6" customWidth="1"/>
    <col min="12" max="12" width="16.75" style="6" customWidth="1"/>
    <col min="13" max="13" width="12.125" style="6" customWidth="1"/>
    <col min="14" max="30" width="11" style="6"/>
    <col min="31" max="16384" width="11" style="5"/>
  </cols>
  <sheetData>
    <row r="1" spans="1:23" x14ac:dyDescent="0.2">
      <c r="A1" s="13" t="s">
        <v>43</v>
      </c>
      <c r="B1" s="27" t="s">
        <v>41</v>
      </c>
      <c r="C1" s="27" t="s">
        <v>39</v>
      </c>
      <c r="D1" s="27" t="s">
        <v>40</v>
      </c>
      <c r="E1" s="8"/>
      <c r="G1" s="10" t="s">
        <v>10</v>
      </c>
      <c r="H1" s="464" t="s">
        <v>68</v>
      </c>
      <c r="I1" s="464"/>
      <c r="J1" s="464"/>
      <c r="K1" s="464"/>
      <c r="L1" s="464"/>
      <c r="M1" s="464"/>
      <c r="N1" s="8"/>
      <c r="O1" s="7"/>
      <c r="R1" s="13"/>
      <c r="S1" s="8"/>
      <c r="T1" s="8"/>
      <c r="U1" s="7"/>
    </row>
    <row r="2" spans="1:23" x14ac:dyDescent="0.2">
      <c r="A2" s="13">
        <v>2</v>
      </c>
      <c r="B2" s="27" t="str">
        <f>M2</f>
        <v>Sparen Minus</v>
      </c>
      <c r="C2" s="27">
        <f>N2</f>
        <v>0</v>
      </c>
      <c r="D2" s="27">
        <f>O2</f>
        <v>0</v>
      </c>
      <c r="E2" s="8"/>
      <c r="G2" s="10" t="s">
        <v>10</v>
      </c>
      <c r="H2" s="463" t="s">
        <v>43</v>
      </c>
      <c r="I2" s="463"/>
      <c r="J2" s="463"/>
      <c r="K2" s="30" t="s">
        <v>39</v>
      </c>
      <c r="L2" s="31" t="s">
        <v>40</v>
      </c>
      <c r="M2" s="32" t="s">
        <v>41</v>
      </c>
      <c r="N2" s="8"/>
      <c r="O2" s="11"/>
      <c r="S2" s="23"/>
      <c r="T2" s="23"/>
      <c r="U2" s="23"/>
    </row>
    <row r="3" spans="1:23" ht="15" x14ac:dyDescent="0.25">
      <c r="A3" s="13">
        <v>3</v>
      </c>
      <c r="B3" s="27">
        <f>$M$3</f>
        <v>0</v>
      </c>
      <c r="C3" s="27">
        <f>$K$3</f>
        <v>0</v>
      </c>
      <c r="D3" s="27">
        <f>$L$3</f>
        <v>0</v>
      </c>
      <c r="E3" s="8"/>
      <c r="F3" s="9" t="s">
        <v>42</v>
      </c>
      <c r="G3" s="10" t="s">
        <v>9</v>
      </c>
      <c r="H3" s="28">
        <v>18</v>
      </c>
      <c r="I3" s="29" t="s">
        <v>67</v>
      </c>
      <c r="J3" s="30">
        <v>24</v>
      </c>
      <c r="K3" s="39">
        <v>0</v>
      </c>
      <c r="L3" s="40">
        <v>0</v>
      </c>
      <c r="M3" s="40">
        <v>0</v>
      </c>
      <c r="N3" s="8"/>
      <c r="O3" s="11"/>
      <c r="S3" s="23"/>
      <c r="T3" s="23"/>
      <c r="U3" s="23"/>
    </row>
    <row r="4" spans="1:23" ht="15" x14ac:dyDescent="0.25">
      <c r="A4" s="13">
        <v>4</v>
      </c>
      <c r="B4" s="27">
        <f t="shared" ref="B4:B24" si="0">$M$3</f>
        <v>0</v>
      </c>
      <c r="C4" s="27">
        <f t="shared" ref="C4:C24" si="1">$K$3</f>
        <v>0</v>
      </c>
      <c r="D4" s="27">
        <f t="shared" ref="D4:D24" si="2">$L$3</f>
        <v>0</v>
      </c>
      <c r="E4" s="8"/>
      <c r="F4" s="9" t="s">
        <v>6</v>
      </c>
      <c r="G4" s="10" t="s">
        <v>33</v>
      </c>
      <c r="H4" s="28">
        <v>25</v>
      </c>
      <c r="I4" s="29" t="s">
        <v>67</v>
      </c>
      <c r="J4" s="30">
        <v>29</v>
      </c>
      <c r="K4" s="39">
        <v>5.8000000000000003E-2</v>
      </c>
      <c r="L4" s="40">
        <v>4.8500000000000001E-2</v>
      </c>
      <c r="M4" s="40">
        <v>3.9E-2</v>
      </c>
      <c r="N4" s="8"/>
      <c r="O4" s="11"/>
      <c r="S4" s="23"/>
      <c r="T4" s="23"/>
      <c r="U4" s="23"/>
      <c r="W4" s="13"/>
    </row>
    <row r="5" spans="1:23" ht="15" x14ac:dyDescent="0.25">
      <c r="A5" s="13">
        <v>5</v>
      </c>
      <c r="B5" s="27">
        <f t="shared" si="0"/>
        <v>0</v>
      </c>
      <c r="C5" s="27">
        <f t="shared" si="1"/>
        <v>0</v>
      </c>
      <c r="D5" s="27">
        <f t="shared" si="2"/>
        <v>0</v>
      </c>
      <c r="E5" s="8"/>
      <c r="F5" s="9">
        <v>28440</v>
      </c>
      <c r="G5" s="10" t="s">
        <v>13</v>
      </c>
      <c r="H5" s="28">
        <v>30</v>
      </c>
      <c r="I5" s="29" t="s">
        <v>67</v>
      </c>
      <c r="J5" s="30">
        <v>34</v>
      </c>
      <c r="K5" s="39">
        <v>7.3999999999999996E-2</v>
      </c>
      <c r="L5" s="40">
        <v>6.2E-2</v>
      </c>
      <c r="M5" s="40">
        <v>0.05</v>
      </c>
      <c r="N5" s="8"/>
      <c r="O5" s="11"/>
      <c r="S5" s="23"/>
      <c r="T5" s="23"/>
      <c r="U5" s="23"/>
      <c r="W5" s="23"/>
    </row>
    <row r="6" spans="1:23" ht="15" x14ac:dyDescent="0.25">
      <c r="A6" s="13">
        <v>6</v>
      </c>
      <c r="B6" s="27">
        <f t="shared" si="0"/>
        <v>0</v>
      </c>
      <c r="C6" s="27">
        <f t="shared" si="1"/>
        <v>0</v>
      </c>
      <c r="D6" s="27">
        <f t="shared" si="2"/>
        <v>0</v>
      </c>
      <c r="E6" s="8"/>
      <c r="G6" s="10" t="s">
        <v>14</v>
      </c>
      <c r="H6" s="28">
        <v>35</v>
      </c>
      <c r="I6" s="29" t="s">
        <v>67</v>
      </c>
      <c r="J6" s="30">
        <v>39</v>
      </c>
      <c r="K6" s="39">
        <v>9.0499999999999997E-2</v>
      </c>
      <c r="L6" s="40">
        <v>7.5499999999999998E-2</v>
      </c>
      <c r="M6" s="40">
        <v>6.0499999999999998E-2</v>
      </c>
      <c r="N6" s="8"/>
      <c r="O6" s="11"/>
      <c r="S6" s="23"/>
      <c r="T6" s="23"/>
      <c r="U6" s="23"/>
    </row>
    <row r="7" spans="1:23" ht="15" x14ac:dyDescent="0.25">
      <c r="A7" s="13">
        <v>7</v>
      </c>
      <c r="B7" s="27">
        <f t="shared" si="0"/>
        <v>0</v>
      </c>
      <c r="C7" s="27">
        <f t="shared" si="1"/>
        <v>0</v>
      </c>
      <c r="D7" s="27">
        <f t="shared" si="2"/>
        <v>0</v>
      </c>
      <c r="E7" s="8"/>
      <c r="F7" s="9" t="s">
        <v>7</v>
      </c>
      <c r="G7" s="10" t="s">
        <v>15</v>
      </c>
      <c r="H7" s="28">
        <v>40</v>
      </c>
      <c r="I7" s="29" t="s">
        <v>67</v>
      </c>
      <c r="J7" s="30">
        <v>44</v>
      </c>
      <c r="K7" s="39">
        <v>0.1065</v>
      </c>
      <c r="L7" s="40">
        <v>8.8999999999999996E-2</v>
      </c>
      <c r="M7" s="40">
        <v>7.1499999999999994E-2</v>
      </c>
      <c r="N7" s="8"/>
      <c r="O7" s="11"/>
      <c r="S7" s="23"/>
      <c r="T7" s="23"/>
      <c r="U7" s="23"/>
    </row>
    <row r="8" spans="1:23" ht="15" x14ac:dyDescent="0.25">
      <c r="A8" s="13">
        <v>8</v>
      </c>
      <c r="B8" s="27">
        <f t="shared" si="0"/>
        <v>0</v>
      </c>
      <c r="C8" s="27">
        <f t="shared" si="1"/>
        <v>0</v>
      </c>
      <c r="D8" s="27">
        <f t="shared" si="2"/>
        <v>0</v>
      </c>
      <c r="E8" s="8"/>
      <c r="F8" s="9">
        <f>12*12350</f>
        <v>148200</v>
      </c>
      <c r="G8" s="10" t="s">
        <v>16</v>
      </c>
      <c r="H8" s="28">
        <v>45</v>
      </c>
      <c r="I8" s="29" t="s">
        <v>67</v>
      </c>
      <c r="J8" s="30">
        <v>49</v>
      </c>
      <c r="K8" s="39">
        <v>0.123</v>
      </c>
      <c r="L8" s="40">
        <v>0.10249999999999999</v>
      </c>
      <c r="M8" s="40">
        <v>8.2000000000000003E-2</v>
      </c>
      <c r="N8" s="8"/>
      <c r="O8" s="11"/>
      <c r="S8" s="23"/>
      <c r="T8" s="23"/>
      <c r="U8" s="23"/>
    </row>
    <row r="9" spans="1:23" ht="15" x14ac:dyDescent="0.25">
      <c r="A9" s="13">
        <v>9</v>
      </c>
      <c r="B9" s="27">
        <f t="shared" si="0"/>
        <v>0</v>
      </c>
      <c r="C9" s="27">
        <f t="shared" si="1"/>
        <v>0</v>
      </c>
      <c r="D9" s="27">
        <f t="shared" si="2"/>
        <v>0</v>
      </c>
      <c r="E9" s="8"/>
      <c r="G9" s="10" t="s">
        <v>17</v>
      </c>
      <c r="H9" s="28">
        <v>50</v>
      </c>
      <c r="I9" s="29" t="s">
        <v>67</v>
      </c>
      <c r="J9" s="30">
        <v>54</v>
      </c>
      <c r="K9" s="39">
        <v>0.13900000000000001</v>
      </c>
      <c r="L9" s="40">
        <v>0.11600000000000001</v>
      </c>
      <c r="M9" s="40">
        <v>9.2999999999999999E-2</v>
      </c>
      <c r="N9" s="8"/>
      <c r="O9" s="11"/>
      <c r="S9" s="23"/>
      <c r="T9" s="23"/>
      <c r="U9" s="23"/>
    </row>
    <row r="10" spans="1:23" ht="15" x14ac:dyDescent="0.25">
      <c r="A10" s="13">
        <v>10</v>
      </c>
      <c r="B10" s="27">
        <f t="shared" si="0"/>
        <v>0</v>
      </c>
      <c r="C10" s="27">
        <f t="shared" si="1"/>
        <v>0</v>
      </c>
      <c r="D10" s="27">
        <f t="shared" si="2"/>
        <v>0</v>
      </c>
      <c r="E10" s="8"/>
      <c r="F10" s="9" t="s">
        <v>8</v>
      </c>
      <c r="G10" s="10" t="s">
        <v>18</v>
      </c>
      <c r="H10" s="28">
        <v>55</v>
      </c>
      <c r="I10" s="29" t="s">
        <v>67</v>
      </c>
      <c r="J10" s="30">
        <v>59</v>
      </c>
      <c r="K10" s="39">
        <v>0.155</v>
      </c>
      <c r="L10" s="40">
        <v>0.1295</v>
      </c>
      <c r="M10" s="40">
        <v>0.104</v>
      </c>
      <c r="N10" s="8"/>
      <c r="O10" s="11"/>
      <c r="S10" s="23"/>
      <c r="T10" s="23"/>
      <c r="U10" s="23"/>
    </row>
    <row r="11" spans="1:23" ht="15" x14ac:dyDescent="0.25">
      <c r="A11" s="13">
        <v>11</v>
      </c>
      <c r="B11" s="27">
        <f t="shared" si="0"/>
        <v>0</v>
      </c>
      <c r="C11" s="27">
        <f t="shared" si="1"/>
        <v>0</v>
      </c>
      <c r="D11" s="27">
        <f t="shared" si="2"/>
        <v>0</v>
      </c>
      <c r="E11" s="8"/>
      <c r="F11" s="9">
        <f>12*12350</f>
        <v>148200</v>
      </c>
      <c r="G11" s="10" t="s">
        <v>19</v>
      </c>
      <c r="H11" s="28">
        <v>60</v>
      </c>
      <c r="I11" s="29" t="s">
        <v>67</v>
      </c>
      <c r="J11" s="30">
        <v>65</v>
      </c>
      <c r="K11" s="39">
        <v>0.155</v>
      </c>
      <c r="L11" s="40">
        <v>0.1295</v>
      </c>
      <c r="M11" s="40">
        <v>0.104</v>
      </c>
      <c r="N11" s="8"/>
      <c r="O11" s="11"/>
      <c r="S11" s="23"/>
      <c r="T11" s="23"/>
      <c r="U11" s="23"/>
    </row>
    <row r="12" spans="1:23" ht="15" x14ac:dyDescent="0.25">
      <c r="A12" s="13">
        <v>12</v>
      </c>
      <c r="B12" s="27">
        <f t="shared" si="0"/>
        <v>0</v>
      </c>
      <c r="C12" s="27">
        <f t="shared" si="1"/>
        <v>0</v>
      </c>
      <c r="D12" s="27">
        <f t="shared" si="2"/>
        <v>0</v>
      </c>
      <c r="E12" s="8"/>
      <c r="G12" s="10" t="s">
        <v>20</v>
      </c>
      <c r="H12" s="28">
        <v>65</v>
      </c>
      <c r="I12" s="29" t="s">
        <v>67</v>
      </c>
      <c r="J12" s="30">
        <v>70</v>
      </c>
      <c r="K12" s="39">
        <v>5.8000000000000003E-2</v>
      </c>
      <c r="L12" s="40">
        <v>4.8500000000000001E-2</v>
      </c>
      <c r="M12" s="40">
        <v>0</v>
      </c>
      <c r="N12" s="8"/>
      <c r="O12" s="11"/>
      <c r="S12" s="23"/>
      <c r="T12" s="23"/>
      <c r="U12" s="23"/>
    </row>
    <row r="13" spans="1:23" x14ac:dyDescent="0.2">
      <c r="A13" s="13">
        <v>13</v>
      </c>
      <c r="B13" s="27">
        <f t="shared" si="0"/>
        <v>0</v>
      </c>
      <c r="C13" s="27">
        <f t="shared" si="1"/>
        <v>0</v>
      </c>
      <c r="D13" s="27">
        <f t="shared" si="2"/>
        <v>0</v>
      </c>
      <c r="E13" s="8"/>
      <c r="F13" s="9" t="s">
        <v>40</v>
      </c>
      <c r="G13" s="10" t="s">
        <v>21</v>
      </c>
      <c r="K13" s="14"/>
      <c r="L13" s="15"/>
      <c r="M13" s="8"/>
      <c r="N13" s="8"/>
      <c r="O13" s="11"/>
      <c r="S13" s="23"/>
      <c r="T13" s="23"/>
      <c r="U13" s="23"/>
    </row>
    <row r="14" spans="1:23" x14ac:dyDescent="0.2">
      <c r="A14" s="13">
        <v>14</v>
      </c>
      <c r="B14" s="27">
        <f t="shared" si="0"/>
        <v>0</v>
      </c>
      <c r="C14" s="27">
        <f t="shared" si="1"/>
        <v>0</v>
      </c>
      <c r="D14" s="27">
        <f t="shared" si="2"/>
        <v>0</v>
      </c>
      <c r="E14" s="8"/>
      <c r="F14" s="9" t="s">
        <v>39</v>
      </c>
      <c r="G14" s="10" t="s">
        <v>22</v>
      </c>
      <c r="K14" s="14"/>
      <c r="M14" s="8"/>
      <c r="N14" s="8"/>
      <c r="O14" s="11"/>
      <c r="S14" s="23"/>
      <c r="T14" s="23"/>
      <c r="U14" s="23"/>
    </row>
    <row r="15" spans="1:23" x14ac:dyDescent="0.2">
      <c r="A15" s="13">
        <v>15</v>
      </c>
      <c r="B15" s="27">
        <f t="shared" si="0"/>
        <v>0</v>
      </c>
      <c r="C15" s="27">
        <f t="shared" si="1"/>
        <v>0</v>
      </c>
      <c r="D15" s="27">
        <f t="shared" si="2"/>
        <v>0</v>
      </c>
      <c r="E15" s="8"/>
      <c r="F15" s="9" t="s">
        <v>41</v>
      </c>
      <c r="G15" s="10" t="s">
        <v>23</v>
      </c>
      <c r="K15" s="14"/>
      <c r="M15" s="8"/>
      <c r="N15" s="8"/>
      <c r="O15" s="11"/>
      <c r="S15" s="23"/>
      <c r="T15" s="23"/>
      <c r="U15" s="23"/>
    </row>
    <row r="16" spans="1:23" x14ac:dyDescent="0.2">
      <c r="A16" s="13">
        <v>16</v>
      </c>
      <c r="B16" s="27">
        <f t="shared" si="0"/>
        <v>0</v>
      </c>
      <c r="C16" s="27">
        <f t="shared" si="1"/>
        <v>0</v>
      </c>
      <c r="D16" s="27">
        <f t="shared" si="2"/>
        <v>0</v>
      </c>
      <c r="E16" s="8"/>
      <c r="G16" s="10" t="s">
        <v>24</v>
      </c>
      <c r="K16" s="14"/>
      <c r="M16" s="8"/>
      <c r="N16" s="8"/>
      <c r="O16" s="11"/>
      <c r="S16" s="23"/>
      <c r="T16" s="23"/>
      <c r="U16" s="23"/>
    </row>
    <row r="17" spans="1:21" x14ac:dyDescent="0.2">
      <c r="A17" s="13">
        <v>17</v>
      </c>
      <c r="B17" s="27">
        <f t="shared" si="0"/>
        <v>0</v>
      </c>
      <c r="C17" s="27">
        <f t="shared" si="1"/>
        <v>0</v>
      </c>
      <c r="D17" s="27">
        <f t="shared" si="2"/>
        <v>0</v>
      </c>
      <c r="E17" s="8"/>
      <c r="G17" s="10" t="s">
        <v>25</v>
      </c>
      <c r="K17" s="14"/>
      <c r="M17" s="8"/>
      <c r="N17" s="8"/>
      <c r="O17" s="11"/>
      <c r="S17" s="23"/>
      <c r="T17" s="23"/>
      <c r="U17" s="23"/>
    </row>
    <row r="18" spans="1:21" x14ac:dyDescent="0.2">
      <c r="A18" s="13">
        <v>18</v>
      </c>
      <c r="B18" s="27">
        <f t="shared" si="0"/>
        <v>0</v>
      </c>
      <c r="C18" s="27">
        <f t="shared" si="1"/>
        <v>0</v>
      </c>
      <c r="D18" s="27">
        <f t="shared" si="2"/>
        <v>0</v>
      </c>
      <c r="E18" s="8"/>
      <c r="G18" s="10" t="s">
        <v>26</v>
      </c>
      <c r="K18" s="14"/>
      <c r="M18" s="8"/>
      <c r="N18" s="8"/>
      <c r="O18" s="11"/>
      <c r="S18" s="23"/>
      <c r="T18" s="23"/>
      <c r="U18" s="23"/>
    </row>
    <row r="19" spans="1:21" x14ac:dyDescent="0.2">
      <c r="A19" s="13">
        <v>19</v>
      </c>
      <c r="B19" s="27">
        <f t="shared" si="0"/>
        <v>0</v>
      </c>
      <c r="C19" s="27">
        <f t="shared" si="1"/>
        <v>0</v>
      </c>
      <c r="D19" s="27">
        <f t="shared" si="2"/>
        <v>0</v>
      </c>
      <c r="E19" s="8"/>
      <c r="G19" s="10" t="s">
        <v>27</v>
      </c>
      <c r="K19" s="14"/>
      <c r="M19" s="8"/>
      <c r="N19" s="8"/>
      <c r="O19" s="11"/>
      <c r="S19" s="23"/>
      <c r="T19" s="23"/>
      <c r="U19" s="23"/>
    </row>
    <row r="20" spans="1:21" x14ac:dyDescent="0.2">
      <c r="A20" s="13">
        <v>20</v>
      </c>
      <c r="B20" s="27">
        <f t="shared" si="0"/>
        <v>0</v>
      </c>
      <c r="C20" s="27">
        <f t="shared" si="1"/>
        <v>0</v>
      </c>
      <c r="D20" s="27">
        <f t="shared" si="2"/>
        <v>0</v>
      </c>
      <c r="E20" s="8"/>
      <c r="G20" s="10" t="s">
        <v>28</v>
      </c>
      <c r="K20" s="14"/>
      <c r="M20" s="8"/>
      <c r="N20" s="8"/>
      <c r="O20" s="11"/>
      <c r="S20" s="23"/>
      <c r="T20" s="23"/>
      <c r="U20" s="23"/>
    </row>
    <row r="21" spans="1:21" x14ac:dyDescent="0.2">
      <c r="A21" s="13">
        <v>21</v>
      </c>
      <c r="B21" s="27">
        <f t="shared" si="0"/>
        <v>0</v>
      </c>
      <c r="C21" s="27">
        <f t="shared" si="1"/>
        <v>0</v>
      </c>
      <c r="D21" s="27">
        <f t="shared" si="2"/>
        <v>0</v>
      </c>
      <c r="E21" s="8"/>
      <c r="G21" s="10" t="s">
        <v>29</v>
      </c>
      <c r="K21" s="14"/>
      <c r="M21" s="8"/>
      <c r="N21" s="8"/>
      <c r="O21" s="11"/>
      <c r="S21" s="23"/>
      <c r="T21" s="23"/>
      <c r="U21" s="23"/>
    </row>
    <row r="22" spans="1:21" x14ac:dyDescent="0.2">
      <c r="A22" s="13">
        <v>22</v>
      </c>
      <c r="B22" s="27">
        <f t="shared" si="0"/>
        <v>0</v>
      </c>
      <c r="C22" s="27">
        <f t="shared" si="1"/>
        <v>0</v>
      </c>
      <c r="D22" s="27">
        <f t="shared" si="2"/>
        <v>0</v>
      </c>
      <c r="E22" s="8"/>
      <c r="G22" s="10" t="s">
        <v>29</v>
      </c>
      <c r="K22" s="14"/>
      <c r="M22" s="8"/>
      <c r="N22" s="8"/>
      <c r="O22" s="11"/>
      <c r="S22" s="23"/>
      <c r="T22" s="23"/>
      <c r="U22" s="23"/>
    </row>
    <row r="23" spans="1:21" x14ac:dyDescent="0.2">
      <c r="A23" s="13">
        <v>23</v>
      </c>
      <c r="B23" s="27">
        <f t="shared" si="0"/>
        <v>0</v>
      </c>
      <c r="C23" s="27">
        <f t="shared" si="1"/>
        <v>0</v>
      </c>
      <c r="D23" s="27">
        <f t="shared" si="2"/>
        <v>0</v>
      </c>
      <c r="E23" s="8"/>
      <c r="G23" s="10" t="s">
        <v>30</v>
      </c>
      <c r="K23" s="14"/>
      <c r="M23" s="8"/>
      <c r="N23" s="8"/>
      <c r="O23" s="11"/>
      <c r="S23" s="23"/>
      <c r="T23" s="23"/>
      <c r="U23" s="23"/>
    </row>
    <row r="24" spans="1:21" x14ac:dyDescent="0.2">
      <c r="A24" s="13">
        <v>24</v>
      </c>
      <c r="B24" s="27">
        <f t="shared" si="0"/>
        <v>0</v>
      </c>
      <c r="C24" s="27">
        <f t="shared" si="1"/>
        <v>0</v>
      </c>
      <c r="D24" s="27">
        <f t="shared" si="2"/>
        <v>0</v>
      </c>
      <c r="E24" s="8"/>
      <c r="G24" s="10" t="s">
        <v>30</v>
      </c>
      <c r="K24" s="14"/>
      <c r="M24" s="8"/>
      <c r="N24" s="8"/>
      <c r="O24" s="11"/>
      <c r="S24" s="23"/>
      <c r="T24" s="23"/>
      <c r="U24" s="23"/>
    </row>
    <row r="25" spans="1:21" x14ac:dyDescent="0.2">
      <c r="A25" s="13">
        <v>25</v>
      </c>
      <c r="B25" s="27">
        <f>$M$4</f>
        <v>3.9E-2</v>
      </c>
      <c r="C25" s="27">
        <f>$K$4</f>
        <v>5.8000000000000003E-2</v>
      </c>
      <c r="D25" s="27">
        <f>$L$4</f>
        <v>4.8500000000000001E-2</v>
      </c>
      <c r="E25" s="8"/>
      <c r="G25" s="10" t="s">
        <v>31</v>
      </c>
      <c r="K25" s="14"/>
      <c r="M25" s="8"/>
      <c r="N25" s="8"/>
      <c r="O25" s="11"/>
      <c r="S25" s="23"/>
      <c r="T25" s="23"/>
      <c r="U25" s="23"/>
    </row>
    <row r="26" spans="1:21" x14ac:dyDescent="0.2">
      <c r="A26" s="13">
        <v>26</v>
      </c>
      <c r="B26" s="27">
        <f t="shared" ref="B26:B29" si="3">$M$4</f>
        <v>3.9E-2</v>
      </c>
      <c r="C26" s="27">
        <f t="shared" ref="C26:C29" si="4">$K$4</f>
        <v>5.8000000000000003E-2</v>
      </c>
      <c r="D26" s="27">
        <f t="shared" ref="D26:D29" si="5">$L$4</f>
        <v>4.8500000000000001E-2</v>
      </c>
      <c r="E26" s="8"/>
      <c r="G26" s="10" t="s">
        <v>31</v>
      </c>
      <c r="K26" s="14"/>
      <c r="M26" s="8"/>
      <c r="N26" s="8"/>
      <c r="O26" s="11"/>
      <c r="S26" s="23"/>
      <c r="T26" s="23"/>
      <c r="U26" s="23"/>
    </row>
    <row r="27" spans="1:21" x14ac:dyDescent="0.2">
      <c r="A27" s="13">
        <v>27</v>
      </c>
      <c r="B27" s="27">
        <f t="shared" si="3"/>
        <v>3.9E-2</v>
      </c>
      <c r="C27" s="27">
        <f t="shared" si="4"/>
        <v>5.8000000000000003E-2</v>
      </c>
      <c r="D27" s="27">
        <f t="shared" si="5"/>
        <v>4.8500000000000001E-2</v>
      </c>
      <c r="E27" s="8"/>
      <c r="G27" s="10" t="s">
        <v>32</v>
      </c>
      <c r="K27" s="14"/>
      <c r="M27" s="8"/>
      <c r="N27" s="8"/>
      <c r="O27" s="11"/>
      <c r="S27" s="23"/>
      <c r="T27" s="23"/>
      <c r="U27" s="23"/>
    </row>
    <row r="28" spans="1:21" x14ac:dyDescent="0.2">
      <c r="A28" s="13">
        <v>28</v>
      </c>
      <c r="B28" s="27">
        <f t="shared" si="3"/>
        <v>3.9E-2</v>
      </c>
      <c r="C28" s="27">
        <f t="shared" si="4"/>
        <v>5.8000000000000003E-2</v>
      </c>
      <c r="D28" s="27">
        <f t="shared" si="5"/>
        <v>4.8500000000000001E-2</v>
      </c>
      <c r="E28" s="8"/>
      <c r="G28" s="10" t="s">
        <v>32</v>
      </c>
      <c r="K28" s="14"/>
      <c r="L28" s="13"/>
      <c r="M28" s="8"/>
      <c r="N28" s="8"/>
      <c r="O28" s="11"/>
      <c r="S28" s="23"/>
      <c r="T28" s="23"/>
      <c r="U28" s="23"/>
    </row>
    <row r="29" spans="1:21" x14ac:dyDescent="0.2">
      <c r="A29" s="13">
        <v>29</v>
      </c>
      <c r="B29" s="27">
        <f t="shared" si="3"/>
        <v>3.9E-2</v>
      </c>
      <c r="C29" s="27">
        <f t="shared" si="4"/>
        <v>5.8000000000000003E-2</v>
      </c>
      <c r="D29" s="27">
        <f t="shared" si="5"/>
        <v>4.8500000000000001E-2</v>
      </c>
      <c r="E29" s="8"/>
      <c r="G29" s="10" t="s">
        <v>11</v>
      </c>
      <c r="K29" s="14"/>
      <c r="L29" s="13"/>
      <c r="M29" s="8"/>
      <c r="N29" s="8"/>
      <c r="O29" s="11"/>
      <c r="S29" s="23"/>
      <c r="T29" s="23"/>
      <c r="U29" s="23"/>
    </row>
    <row r="30" spans="1:21" x14ac:dyDescent="0.2">
      <c r="A30" s="13">
        <v>30</v>
      </c>
      <c r="B30" s="27">
        <f>$M$5</f>
        <v>0.05</v>
      </c>
      <c r="C30" s="27">
        <f>$K$5</f>
        <v>7.3999999999999996E-2</v>
      </c>
      <c r="D30" s="27">
        <f>$L$5</f>
        <v>6.2E-2</v>
      </c>
      <c r="E30" s="8"/>
      <c r="G30" s="10" t="s">
        <v>11</v>
      </c>
      <c r="K30" s="14"/>
      <c r="M30" s="8"/>
      <c r="N30" s="8"/>
      <c r="O30" s="11"/>
      <c r="S30" s="23"/>
      <c r="T30" s="23"/>
      <c r="U30" s="23"/>
    </row>
    <row r="31" spans="1:21" x14ac:dyDescent="0.2">
      <c r="A31" s="13">
        <v>31</v>
      </c>
      <c r="B31" s="27">
        <f t="shared" ref="B31:B34" si="6">$M$5</f>
        <v>0.05</v>
      </c>
      <c r="C31" s="27">
        <f t="shared" ref="C31:C34" si="7">$K$5</f>
        <v>7.3999999999999996E-2</v>
      </c>
      <c r="D31" s="27">
        <f t="shared" ref="D31:D34" si="8">$L$5</f>
        <v>6.2E-2</v>
      </c>
      <c r="E31" s="8"/>
      <c r="G31" s="10" t="s">
        <v>12</v>
      </c>
      <c r="K31" s="14"/>
      <c r="M31" s="8"/>
      <c r="N31" s="8"/>
      <c r="O31" s="11"/>
      <c r="S31" s="23"/>
      <c r="T31" s="23"/>
      <c r="U31" s="23"/>
    </row>
    <row r="32" spans="1:21" x14ac:dyDescent="0.2">
      <c r="A32" s="13">
        <v>32</v>
      </c>
      <c r="B32" s="27">
        <f t="shared" si="6"/>
        <v>0.05</v>
      </c>
      <c r="C32" s="27">
        <f t="shared" si="7"/>
        <v>7.3999999999999996E-2</v>
      </c>
      <c r="D32" s="27">
        <f t="shared" si="8"/>
        <v>6.2E-2</v>
      </c>
      <c r="E32" s="8"/>
      <c r="K32" s="14"/>
      <c r="M32" s="8"/>
      <c r="N32" s="8"/>
      <c r="O32" s="11"/>
      <c r="S32" s="23"/>
      <c r="T32" s="23"/>
      <c r="U32" s="23"/>
    </row>
    <row r="33" spans="1:21" x14ac:dyDescent="0.2">
      <c r="A33" s="13">
        <v>33</v>
      </c>
      <c r="B33" s="27">
        <f t="shared" si="6"/>
        <v>0.05</v>
      </c>
      <c r="C33" s="27">
        <f t="shared" si="7"/>
        <v>7.3999999999999996E-2</v>
      </c>
      <c r="D33" s="27">
        <f t="shared" si="8"/>
        <v>6.2E-2</v>
      </c>
      <c r="E33" s="8"/>
      <c r="K33" s="14"/>
      <c r="M33" s="8"/>
      <c r="N33" s="8"/>
      <c r="O33" s="11"/>
      <c r="S33" s="23"/>
      <c r="T33" s="23"/>
      <c r="U33" s="23"/>
    </row>
    <row r="34" spans="1:21" x14ac:dyDescent="0.2">
      <c r="A34" s="13">
        <v>34</v>
      </c>
      <c r="B34" s="27">
        <f t="shared" si="6"/>
        <v>0.05</v>
      </c>
      <c r="C34" s="27">
        <f t="shared" si="7"/>
        <v>7.3999999999999996E-2</v>
      </c>
      <c r="D34" s="27">
        <f t="shared" si="8"/>
        <v>6.2E-2</v>
      </c>
      <c r="E34" s="8"/>
      <c r="K34" s="14"/>
      <c r="M34" s="8"/>
      <c r="N34" s="8"/>
      <c r="O34" s="11"/>
      <c r="S34" s="23"/>
      <c r="T34" s="23"/>
      <c r="U34" s="23"/>
    </row>
    <row r="35" spans="1:21" x14ac:dyDescent="0.2">
      <c r="A35" s="13">
        <v>35</v>
      </c>
      <c r="B35" s="27">
        <f>$M$6</f>
        <v>6.0499999999999998E-2</v>
      </c>
      <c r="C35" s="27">
        <f>$K$6</f>
        <v>9.0499999999999997E-2</v>
      </c>
      <c r="D35" s="27">
        <f>$L$6</f>
        <v>7.5499999999999998E-2</v>
      </c>
      <c r="E35" s="8"/>
      <c r="K35" s="14"/>
      <c r="M35" s="12"/>
      <c r="N35" s="8"/>
      <c r="O35" s="11"/>
      <c r="S35" s="23"/>
      <c r="T35" s="23"/>
      <c r="U35" s="23"/>
    </row>
    <row r="36" spans="1:21" x14ac:dyDescent="0.2">
      <c r="A36" s="13">
        <v>36</v>
      </c>
      <c r="B36" s="27">
        <f t="shared" ref="B36:B39" si="9">$M$6</f>
        <v>6.0499999999999998E-2</v>
      </c>
      <c r="C36" s="27">
        <f t="shared" ref="C36:C39" si="10">$K$6</f>
        <v>9.0499999999999997E-2</v>
      </c>
      <c r="D36" s="27">
        <f t="shared" ref="D36:D39" si="11">$L$6</f>
        <v>7.5499999999999998E-2</v>
      </c>
      <c r="E36" s="8"/>
      <c r="K36" s="14"/>
      <c r="M36" s="12"/>
      <c r="N36" s="8"/>
      <c r="O36" s="11"/>
      <c r="S36" s="23"/>
      <c r="T36" s="23"/>
      <c r="U36" s="23"/>
    </row>
    <row r="37" spans="1:21" x14ac:dyDescent="0.2">
      <c r="A37" s="13">
        <v>37</v>
      </c>
      <c r="B37" s="27">
        <f t="shared" si="9"/>
        <v>6.0499999999999998E-2</v>
      </c>
      <c r="C37" s="27">
        <f t="shared" si="10"/>
        <v>9.0499999999999997E-2</v>
      </c>
      <c r="D37" s="27">
        <f t="shared" si="11"/>
        <v>7.5499999999999998E-2</v>
      </c>
      <c r="E37" s="8"/>
      <c r="K37" s="14"/>
      <c r="M37" s="12"/>
      <c r="N37" s="8"/>
      <c r="O37" s="11"/>
      <c r="S37" s="23"/>
      <c r="T37" s="23"/>
      <c r="U37" s="23"/>
    </row>
    <row r="38" spans="1:21" x14ac:dyDescent="0.2">
      <c r="A38" s="13">
        <v>38</v>
      </c>
      <c r="B38" s="27">
        <f t="shared" si="9"/>
        <v>6.0499999999999998E-2</v>
      </c>
      <c r="C38" s="27">
        <f t="shared" si="10"/>
        <v>9.0499999999999997E-2</v>
      </c>
      <c r="D38" s="27">
        <f t="shared" si="11"/>
        <v>7.5499999999999998E-2</v>
      </c>
      <c r="E38" s="8"/>
      <c r="K38" s="14"/>
      <c r="M38" s="12"/>
      <c r="N38" s="8"/>
      <c r="O38" s="11"/>
      <c r="S38" s="23"/>
      <c r="T38" s="23"/>
      <c r="U38" s="23"/>
    </row>
    <row r="39" spans="1:21" x14ac:dyDescent="0.2">
      <c r="A39" s="13">
        <v>39</v>
      </c>
      <c r="B39" s="27">
        <f t="shared" si="9"/>
        <v>6.0499999999999998E-2</v>
      </c>
      <c r="C39" s="27">
        <f t="shared" si="10"/>
        <v>9.0499999999999997E-2</v>
      </c>
      <c r="D39" s="27">
        <f t="shared" si="11"/>
        <v>7.5499999999999998E-2</v>
      </c>
      <c r="E39" s="8"/>
      <c r="K39" s="14"/>
      <c r="M39" s="12"/>
      <c r="N39" s="8"/>
      <c r="O39" s="11"/>
      <c r="S39" s="23"/>
      <c r="T39" s="23"/>
      <c r="U39" s="23"/>
    </row>
    <row r="40" spans="1:21" x14ac:dyDescent="0.2">
      <c r="A40" s="13">
        <v>40</v>
      </c>
      <c r="B40" s="27">
        <f>$M$7</f>
        <v>7.1499999999999994E-2</v>
      </c>
      <c r="C40" s="27">
        <f>$K$7</f>
        <v>0.1065</v>
      </c>
      <c r="D40" s="27">
        <f>$L$7</f>
        <v>8.8999999999999996E-2</v>
      </c>
      <c r="E40" s="8"/>
      <c r="K40" s="14"/>
      <c r="M40" s="8"/>
      <c r="N40" s="8"/>
      <c r="O40" s="11"/>
      <c r="S40" s="23"/>
      <c r="T40" s="23"/>
      <c r="U40" s="23"/>
    </row>
    <row r="41" spans="1:21" x14ac:dyDescent="0.2">
      <c r="A41" s="13">
        <v>41</v>
      </c>
      <c r="B41" s="27">
        <f t="shared" ref="B41:B44" si="12">$M$7</f>
        <v>7.1499999999999994E-2</v>
      </c>
      <c r="C41" s="27">
        <f t="shared" ref="C41:C44" si="13">$K$7</f>
        <v>0.1065</v>
      </c>
      <c r="D41" s="27">
        <f t="shared" ref="D41:D44" si="14">$L$7</f>
        <v>8.8999999999999996E-2</v>
      </c>
      <c r="E41" s="8"/>
      <c r="K41" s="14"/>
      <c r="M41" s="8"/>
      <c r="N41" s="8"/>
      <c r="O41" s="11"/>
      <c r="S41" s="23"/>
      <c r="T41" s="23"/>
      <c r="U41" s="23"/>
    </row>
    <row r="42" spans="1:21" x14ac:dyDescent="0.2">
      <c r="A42" s="13">
        <v>42</v>
      </c>
      <c r="B42" s="27">
        <f t="shared" si="12"/>
        <v>7.1499999999999994E-2</v>
      </c>
      <c r="C42" s="27">
        <f t="shared" si="13"/>
        <v>0.1065</v>
      </c>
      <c r="D42" s="27">
        <f t="shared" si="14"/>
        <v>8.8999999999999996E-2</v>
      </c>
      <c r="E42" s="8"/>
      <c r="K42" s="14"/>
      <c r="M42" s="8"/>
      <c r="N42" s="8"/>
      <c r="O42" s="11"/>
      <c r="S42" s="23"/>
      <c r="T42" s="23"/>
      <c r="U42" s="23"/>
    </row>
    <row r="43" spans="1:21" x14ac:dyDescent="0.2">
      <c r="A43" s="13">
        <v>43</v>
      </c>
      <c r="B43" s="27">
        <f t="shared" si="12"/>
        <v>7.1499999999999994E-2</v>
      </c>
      <c r="C43" s="27">
        <f t="shared" si="13"/>
        <v>0.1065</v>
      </c>
      <c r="D43" s="27">
        <f t="shared" si="14"/>
        <v>8.8999999999999996E-2</v>
      </c>
      <c r="E43" s="8"/>
      <c r="K43" s="14"/>
      <c r="M43" s="8"/>
      <c r="N43" s="8"/>
      <c r="O43" s="11"/>
      <c r="S43" s="23"/>
      <c r="T43" s="23"/>
      <c r="U43" s="23"/>
    </row>
    <row r="44" spans="1:21" x14ac:dyDescent="0.2">
      <c r="A44" s="13">
        <v>44</v>
      </c>
      <c r="B44" s="27">
        <f t="shared" si="12"/>
        <v>7.1499999999999994E-2</v>
      </c>
      <c r="C44" s="27">
        <f t="shared" si="13"/>
        <v>0.1065</v>
      </c>
      <c r="D44" s="27">
        <f t="shared" si="14"/>
        <v>8.8999999999999996E-2</v>
      </c>
      <c r="E44" s="8"/>
      <c r="K44" s="14"/>
      <c r="M44" s="8"/>
      <c r="N44" s="8"/>
      <c r="O44" s="11"/>
      <c r="S44" s="23"/>
      <c r="T44" s="23"/>
      <c r="U44" s="23"/>
    </row>
    <row r="45" spans="1:21" x14ac:dyDescent="0.2">
      <c r="A45" s="13">
        <v>45</v>
      </c>
      <c r="B45" s="27">
        <f>$M$8</f>
        <v>8.2000000000000003E-2</v>
      </c>
      <c r="C45" s="27">
        <f>$K$8</f>
        <v>0.123</v>
      </c>
      <c r="D45" s="27">
        <f>$L$8</f>
        <v>0.10249999999999999</v>
      </c>
      <c r="E45" s="8"/>
      <c r="K45" s="14"/>
      <c r="M45" s="8"/>
      <c r="N45" s="8"/>
      <c r="O45" s="11"/>
      <c r="S45" s="23"/>
      <c r="T45" s="23"/>
      <c r="U45" s="23"/>
    </row>
    <row r="46" spans="1:21" x14ac:dyDescent="0.2">
      <c r="A46" s="13">
        <v>46</v>
      </c>
      <c r="B46" s="27">
        <f t="shared" ref="B46:B49" si="15">$M$8</f>
        <v>8.2000000000000003E-2</v>
      </c>
      <c r="C46" s="27">
        <f t="shared" ref="C46:C49" si="16">$K$8</f>
        <v>0.123</v>
      </c>
      <c r="D46" s="27">
        <f t="shared" ref="D46:D49" si="17">$L$8</f>
        <v>0.10249999999999999</v>
      </c>
      <c r="E46" s="8"/>
      <c r="K46" s="14"/>
      <c r="M46" s="8"/>
      <c r="N46" s="8"/>
      <c r="O46" s="11"/>
      <c r="S46" s="23"/>
      <c r="T46" s="23"/>
      <c r="U46" s="23"/>
    </row>
    <row r="47" spans="1:21" x14ac:dyDescent="0.2">
      <c r="A47" s="13">
        <v>47</v>
      </c>
      <c r="B47" s="27">
        <f t="shared" si="15"/>
        <v>8.2000000000000003E-2</v>
      </c>
      <c r="C47" s="27">
        <f t="shared" si="16"/>
        <v>0.123</v>
      </c>
      <c r="D47" s="27">
        <f t="shared" si="17"/>
        <v>0.10249999999999999</v>
      </c>
      <c r="E47" s="8"/>
      <c r="K47" s="14"/>
      <c r="M47" s="8"/>
      <c r="N47" s="8"/>
      <c r="O47" s="11"/>
      <c r="S47" s="23"/>
      <c r="T47" s="23"/>
      <c r="U47" s="23"/>
    </row>
    <row r="48" spans="1:21" x14ac:dyDescent="0.2">
      <c r="A48" s="13">
        <v>48</v>
      </c>
      <c r="B48" s="27">
        <f t="shared" si="15"/>
        <v>8.2000000000000003E-2</v>
      </c>
      <c r="C48" s="27">
        <f t="shared" si="16"/>
        <v>0.123</v>
      </c>
      <c r="D48" s="27">
        <f t="shared" si="17"/>
        <v>0.10249999999999999</v>
      </c>
      <c r="E48" s="8"/>
      <c r="K48" s="14"/>
      <c r="M48" s="8"/>
      <c r="N48" s="8"/>
      <c r="O48" s="11"/>
      <c r="S48" s="23"/>
      <c r="T48" s="23"/>
      <c r="U48" s="23"/>
    </row>
    <row r="49" spans="1:21" x14ac:dyDescent="0.2">
      <c r="A49" s="13">
        <v>49</v>
      </c>
      <c r="B49" s="27">
        <f t="shared" si="15"/>
        <v>8.2000000000000003E-2</v>
      </c>
      <c r="C49" s="27">
        <f t="shared" si="16"/>
        <v>0.123</v>
      </c>
      <c r="D49" s="27">
        <f t="shared" si="17"/>
        <v>0.10249999999999999</v>
      </c>
      <c r="E49" s="8"/>
      <c r="K49" s="14"/>
      <c r="M49" s="8"/>
      <c r="N49" s="8"/>
      <c r="O49" s="11"/>
      <c r="S49" s="23"/>
      <c r="T49" s="23"/>
      <c r="U49" s="23"/>
    </row>
    <row r="50" spans="1:21" x14ac:dyDescent="0.2">
      <c r="A50" s="13">
        <v>50</v>
      </c>
      <c r="B50" s="27">
        <f>$M$9</f>
        <v>9.2999999999999999E-2</v>
      </c>
      <c r="C50" s="27">
        <f>$K$9</f>
        <v>0.13900000000000001</v>
      </c>
      <c r="D50" s="27">
        <f>$L$9</f>
        <v>0.11600000000000001</v>
      </c>
      <c r="E50" s="8"/>
      <c r="K50" s="14"/>
      <c r="M50" s="8"/>
      <c r="N50" s="8"/>
      <c r="O50" s="11"/>
      <c r="S50" s="23"/>
      <c r="T50" s="23"/>
      <c r="U50" s="23"/>
    </row>
    <row r="51" spans="1:21" x14ac:dyDescent="0.2">
      <c r="A51" s="13">
        <v>51</v>
      </c>
      <c r="B51" s="27">
        <f t="shared" ref="B51:B54" si="18">$M$9</f>
        <v>9.2999999999999999E-2</v>
      </c>
      <c r="C51" s="27">
        <f t="shared" ref="C51:C54" si="19">$K$9</f>
        <v>0.13900000000000001</v>
      </c>
      <c r="D51" s="27">
        <f t="shared" ref="D51:D54" si="20">$L$9</f>
        <v>0.11600000000000001</v>
      </c>
      <c r="E51" s="8"/>
      <c r="K51" s="14"/>
      <c r="M51" s="8"/>
      <c r="N51" s="8"/>
      <c r="O51" s="11"/>
      <c r="S51" s="23"/>
      <c r="T51" s="23"/>
      <c r="U51" s="23"/>
    </row>
    <row r="52" spans="1:21" x14ac:dyDescent="0.2">
      <c r="A52" s="13">
        <v>52</v>
      </c>
      <c r="B52" s="27">
        <f t="shared" si="18"/>
        <v>9.2999999999999999E-2</v>
      </c>
      <c r="C52" s="27">
        <f t="shared" si="19"/>
        <v>0.13900000000000001</v>
      </c>
      <c r="D52" s="27">
        <f t="shared" si="20"/>
        <v>0.11600000000000001</v>
      </c>
      <c r="E52" s="8"/>
      <c r="K52" s="14"/>
      <c r="M52" s="8"/>
      <c r="N52" s="8"/>
      <c r="O52" s="11"/>
      <c r="S52" s="23"/>
      <c r="T52" s="23"/>
      <c r="U52" s="23"/>
    </row>
    <row r="53" spans="1:21" x14ac:dyDescent="0.2">
      <c r="A53" s="13">
        <v>53</v>
      </c>
      <c r="B53" s="27">
        <f t="shared" si="18"/>
        <v>9.2999999999999999E-2</v>
      </c>
      <c r="C53" s="27">
        <f t="shared" si="19"/>
        <v>0.13900000000000001</v>
      </c>
      <c r="D53" s="27">
        <f t="shared" si="20"/>
        <v>0.11600000000000001</v>
      </c>
      <c r="E53" s="8"/>
      <c r="K53" s="14"/>
      <c r="M53" s="8"/>
      <c r="N53" s="8"/>
      <c r="O53" s="11"/>
      <c r="S53" s="23"/>
      <c r="T53" s="23"/>
      <c r="U53" s="23"/>
    </row>
    <row r="54" spans="1:21" x14ac:dyDescent="0.2">
      <c r="A54" s="13">
        <v>54</v>
      </c>
      <c r="B54" s="27">
        <f t="shared" si="18"/>
        <v>9.2999999999999999E-2</v>
      </c>
      <c r="C54" s="27">
        <f t="shared" si="19"/>
        <v>0.13900000000000001</v>
      </c>
      <c r="D54" s="27">
        <f t="shared" si="20"/>
        <v>0.11600000000000001</v>
      </c>
      <c r="E54" s="8"/>
      <c r="K54" s="14"/>
      <c r="M54" s="8"/>
      <c r="N54" s="8"/>
      <c r="O54" s="11"/>
      <c r="S54" s="23"/>
      <c r="T54" s="23"/>
      <c r="U54" s="23"/>
    </row>
    <row r="55" spans="1:21" x14ac:dyDescent="0.2">
      <c r="A55" s="13">
        <v>55</v>
      </c>
      <c r="B55" s="27">
        <f>$M$10</f>
        <v>0.104</v>
      </c>
      <c r="C55" s="27">
        <f>$K$10</f>
        <v>0.155</v>
      </c>
      <c r="D55" s="27">
        <f>$L$10</f>
        <v>0.1295</v>
      </c>
      <c r="E55" s="8"/>
      <c r="K55" s="14"/>
      <c r="M55" s="8"/>
      <c r="N55" s="8"/>
      <c r="O55" s="11"/>
      <c r="S55" s="23"/>
      <c r="T55" s="23"/>
      <c r="U55" s="23"/>
    </row>
    <row r="56" spans="1:21" x14ac:dyDescent="0.2">
      <c r="A56" s="13">
        <v>56</v>
      </c>
      <c r="B56" s="27">
        <f t="shared" ref="B56:B59" si="21">$M$10</f>
        <v>0.104</v>
      </c>
      <c r="C56" s="27">
        <f t="shared" ref="C56:C59" si="22">$K$10</f>
        <v>0.155</v>
      </c>
      <c r="D56" s="27">
        <f t="shared" ref="D56:D59" si="23">$L$10</f>
        <v>0.1295</v>
      </c>
      <c r="E56" s="8"/>
      <c r="K56" s="14"/>
      <c r="M56" s="8"/>
      <c r="N56" s="8"/>
      <c r="O56" s="11"/>
      <c r="S56" s="23"/>
      <c r="T56" s="23"/>
      <c r="U56" s="23"/>
    </row>
    <row r="57" spans="1:21" x14ac:dyDescent="0.2">
      <c r="A57" s="13">
        <v>57</v>
      </c>
      <c r="B57" s="27">
        <f t="shared" si="21"/>
        <v>0.104</v>
      </c>
      <c r="C57" s="27">
        <f t="shared" si="22"/>
        <v>0.155</v>
      </c>
      <c r="D57" s="27">
        <f t="shared" si="23"/>
        <v>0.1295</v>
      </c>
      <c r="E57" s="8"/>
      <c r="K57" s="14"/>
      <c r="M57" s="8"/>
      <c r="N57" s="8"/>
      <c r="O57" s="11"/>
      <c r="S57" s="23"/>
      <c r="T57" s="23"/>
      <c r="U57" s="23"/>
    </row>
    <row r="58" spans="1:21" x14ac:dyDescent="0.2">
      <c r="A58" s="13">
        <v>58</v>
      </c>
      <c r="B58" s="27">
        <f t="shared" si="21"/>
        <v>0.104</v>
      </c>
      <c r="C58" s="27">
        <f t="shared" si="22"/>
        <v>0.155</v>
      </c>
      <c r="D58" s="27">
        <f t="shared" si="23"/>
        <v>0.1295</v>
      </c>
      <c r="E58" s="8"/>
      <c r="K58" s="14"/>
      <c r="M58" s="8"/>
      <c r="N58" s="8"/>
      <c r="O58" s="11"/>
      <c r="S58" s="23"/>
      <c r="T58" s="23"/>
      <c r="U58" s="23"/>
    </row>
    <row r="59" spans="1:21" x14ac:dyDescent="0.2">
      <c r="A59" s="13">
        <v>59</v>
      </c>
      <c r="B59" s="27">
        <f t="shared" si="21"/>
        <v>0.104</v>
      </c>
      <c r="C59" s="27">
        <f t="shared" si="22"/>
        <v>0.155</v>
      </c>
      <c r="D59" s="27">
        <f t="shared" si="23"/>
        <v>0.1295</v>
      </c>
      <c r="E59" s="8"/>
      <c r="K59" s="14"/>
      <c r="M59" s="8"/>
      <c r="N59" s="8"/>
      <c r="O59" s="11"/>
      <c r="S59" s="23"/>
      <c r="T59" s="23"/>
      <c r="U59" s="23"/>
    </row>
    <row r="60" spans="1:21" x14ac:dyDescent="0.2">
      <c r="A60" s="13">
        <v>60</v>
      </c>
      <c r="B60" s="27">
        <f>$M$11</f>
        <v>0.104</v>
      </c>
      <c r="C60" s="27">
        <f>$K$11</f>
        <v>0.155</v>
      </c>
      <c r="D60" s="27">
        <f>$L$11</f>
        <v>0.1295</v>
      </c>
      <c r="E60" s="8"/>
      <c r="K60" s="14"/>
      <c r="M60" s="8"/>
      <c r="N60" s="8"/>
      <c r="O60" s="11"/>
      <c r="S60" s="23"/>
      <c r="T60" s="23"/>
      <c r="U60" s="23"/>
    </row>
    <row r="61" spans="1:21" x14ac:dyDescent="0.2">
      <c r="A61" s="13">
        <v>61</v>
      </c>
      <c r="B61" s="27">
        <f t="shared" ref="B61:B65" si="24">$M$11</f>
        <v>0.104</v>
      </c>
      <c r="C61" s="27">
        <f t="shared" ref="C61:C65" si="25">$K$11</f>
        <v>0.155</v>
      </c>
      <c r="D61" s="27">
        <f t="shared" ref="D61:D65" si="26">$L$11</f>
        <v>0.1295</v>
      </c>
      <c r="E61" s="8"/>
      <c r="K61" s="14"/>
      <c r="M61" s="8"/>
      <c r="N61" s="8"/>
      <c r="O61" s="11"/>
      <c r="S61" s="23"/>
      <c r="T61" s="23"/>
      <c r="U61" s="23"/>
    </row>
    <row r="62" spans="1:21" x14ac:dyDescent="0.2">
      <c r="A62" s="13">
        <v>62</v>
      </c>
      <c r="B62" s="27">
        <f t="shared" si="24"/>
        <v>0.104</v>
      </c>
      <c r="C62" s="27">
        <f t="shared" si="25"/>
        <v>0.155</v>
      </c>
      <c r="D62" s="27">
        <f t="shared" si="26"/>
        <v>0.1295</v>
      </c>
      <c r="E62" s="8"/>
      <c r="K62" s="14"/>
      <c r="M62" s="8"/>
      <c r="N62" s="8"/>
      <c r="O62" s="11"/>
      <c r="S62" s="23"/>
      <c r="T62" s="23"/>
      <c r="U62" s="23"/>
    </row>
    <row r="63" spans="1:21" x14ac:dyDescent="0.2">
      <c r="A63" s="13">
        <v>63</v>
      </c>
      <c r="B63" s="27">
        <f t="shared" si="24"/>
        <v>0.104</v>
      </c>
      <c r="C63" s="27">
        <f t="shared" si="25"/>
        <v>0.155</v>
      </c>
      <c r="D63" s="27">
        <f t="shared" si="26"/>
        <v>0.1295</v>
      </c>
      <c r="E63" s="8"/>
      <c r="K63" s="14"/>
      <c r="M63" s="8"/>
      <c r="N63" s="8"/>
      <c r="O63" s="11"/>
      <c r="S63" s="23"/>
      <c r="T63" s="23"/>
      <c r="U63" s="23"/>
    </row>
    <row r="64" spans="1:21" x14ac:dyDescent="0.2">
      <c r="A64" s="13">
        <v>64</v>
      </c>
      <c r="B64" s="27">
        <f t="shared" si="24"/>
        <v>0.104</v>
      </c>
      <c r="C64" s="27">
        <f t="shared" si="25"/>
        <v>0.155</v>
      </c>
      <c r="D64" s="27">
        <f t="shared" si="26"/>
        <v>0.1295</v>
      </c>
      <c r="E64" s="8"/>
      <c r="K64" s="14"/>
      <c r="M64" s="8"/>
      <c r="N64" s="8"/>
      <c r="O64" s="11"/>
      <c r="S64" s="23"/>
      <c r="T64" s="23"/>
      <c r="U64" s="23"/>
    </row>
    <row r="65" spans="1:21" x14ac:dyDescent="0.2">
      <c r="A65" s="13">
        <v>65</v>
      </c>
      <c r="B65" s="27">
        <f t="shared" si="24"/>
        <v>0.104</v>
      </c>
      <c r="C65" s="27">
        <f t="shared" si="25"/>
        <v>0.155</v>
      </c>
      <c r="D65" s="27">
        <f t="shared" si="26"/>
        <v>0.1295</v>
      </c>
      <c r="E65" s="8"/>
      <c r="K65" s="14"/>
      <c r="M65" s="8"/>
      <c r="N65" s="8"/>
      <c r="O65" s="15"/>
      <c r="S65" s="23"/>
      <c r="T65" s="23"/>
      <c r="U65" s="23"/>
    </row>
    <row r="66" spans="1:21" x14ac:dyDescent="0.2">
      <c r="A66" s="13">
        <v>66</v>
      </c>
      <c r="B66" s="27">
        <f>$M$12</f>
        <v>0</v>
      </c>
      <c r="C66" s="27">
        <f>$K$12</f>
        <v>5.8000000000000003E-2</v>
      </c>
      <c r="D66" s="27">
        <f>$L$12</f>
        <v>4.8500000000000001E-2</v>
      </c>
      <c r="E66" s="8"/>
      <c r="K66" s="14"/>
      <c r="M66" s="8"/>
      <c r="N66" s="8"/>
      <c r="O66" s="15"/>
      <c r="S66" s="23"/>
      <c r="T66" s="23"/>
      <c r="U66" s="23"/>
    </row>
    <row r="67" spans="1:21" x14ac:dyDescent="0.2">
      <c r="A67" s="13">
        <v>67</v>
      </c>
      <c r="B67" s="27">
        <f t="shared" ref="B67:B70" si="27">$M$12</f>
        <v>0</v>
      </c>
      <c r="C67" s="27">
        <f t="shared" ref="C67:C70" si="28">$K$12</f>
        <v>5.8000000000000003E-2</v>
      </c>
      <c r="D67" s="27">
        <f t="shared" ref="D67:D70" si="29">$L$12</f>
        <v>4.8500000000000001E-2</v>
      </c>
      <c r="E67" s="8"/>
      <c r="K67" s="14"/>
      <c r="M67" s="8"/>
      <c r="N67" s="8"/>
      <c r="O67" s="15"/>
      <c r="S67" s="23"/>
      <c r="T67" s="23"/>
      <c r="U67" s="23"/>
    </row>
    <row r="68" spans="1:21" x14ac:dyDescent="0.2">
      <c r="A68" s="13">
        <v>68</v>
      </c>
      <c r="B68" s="27">
        <f t="shared" si="27"/>
        <v>0</v>
      </c>
      <c r="C68" s="27">
        <f t="shared" si="28"/>
        <v>5.8000000000000003E-2</v>
      </c>
      <c r="D68" s="27">
        <f t="shared" si="29"/>
        <v>4.8500000000000001E-2</v>
      </c>
      <c r="E68" s="8"/>
      <c r="K68" s="14"/>
      <c r="M68" s="8"/>
      <c r="N68" s="8"/>
      <c r="O68" s="15"/>
      <c r="S68" s="23"/>
      <c r="T68" s="23"/>
      <c r="U68" s="23"/>
    </row>
    <row r="69" spans="1:21" x14ac:dyDescent="0.2">
      <c r="A69" s="13">
        <v>69</v>
      </c>
      <c r="B69" s="27">
        <f t="shared" si="27"/>
        <v>0</v>
      </c>
      <c r="C69" s="27">
        <f t="shared" si="28"/>
        <v>5.8000000000000003E-2</v>
      </c>
      <c r="D69" s="27">
        <f t="shared" si="29"/>
        <v>4.8500000000000001E-2</v>
      </c>
      <c r="E69" s="8"/>
      <c r="K69" s="14"/>
      <c r="M69" s="8"/>
      <c r="N69" s="8"/>
      <c r="O69" s="15"/>
      <c r="S69" s="23"/>
      <c r="T69" s="23"/>
      <c r="U69" s="23"/>
    </row>
    <row r="70" spans="1:21" x14ac:dyDescent="0.2">
      <c r="A70" s="13">
        <v>70</v>
      </c>
      <c r="B70" s="27">
        <f t="shared" si="27"/>
        <v>0</v>
      </c>
      <c r="C70" s="27">
        <f t="shared" si="28"/>
        <v>5.8000000000000003E-2</v>
      </c>
      <c r="D70" s="27">
        <f t="shared" si="29"/>
        <v>4.8500000000000001E-2</v>
      </c>
      <c r="E70" s="8"/>
      <c r="K70" s="14"/>
      <c r="M70" s="8"/>
      <c r="N70" s="8"/>
      <c r="O70" s="15"/>
      <c r="S70" s="23"/>
      <c r="T70" s="23"/>
      <c r="U70" s="23"/>
    </row>
    <row r="71" spans="1:21" x14ac:dyDescent="0.2">
      <c r="A71" s="13">
        <v>71</v>
      </c>
      <c r="B71" s="27">
        <f>M71</f>
        <v>0</v>
      </c>
      <c r="C71" s="27">
        <f t="shared" ref="C71:D71" si="30">N71</f>
        <v>0</v>
      </c>
      <c r="D71" s="27">
        <f t="shared" si="30"/>
        <v>0</v>
      </c>
      <c r="E71" s="8"/>
      <c r="K71" s="14"/>
      <c r="M71" s="12"/>
      <c r="N71" s="12"/>
      <c r="O71" s="12"/>
      <c r="S71" s="23"/>
      <c r="T71" s="23"/>
      <c r="U71" s="23"/>
    </row>
    <row r="72" spans="1:21" x14ac:dyDescent="0.2">
      <c r="A72" s="13">
        <v>72</v>
      </c>
      <c r="B72" s="27">
        <f t="shared" ref="B72:B100" si="31">M72</f>
        <v>0</v>
      </c>
      <c r="C72" s="27">
        <f t="shared" ref="C72:C100" si="32">N72</f>
        <v>0</v>
      </c>
      <c r="D72" s="27">
        <f t="shared" ref="D72:D100" si="33">O72</f>
        <v>0</v>
      </c>
      <c r="K72" s="14"/>
      <c r="M72" s="12"/>
      <c r="N72" s="12"/>
      <c r="O72" s="12"/>
      <c r="S72" s="23"/>
      <c r="T72" s="23"/>
      <c r="U72" s="23"/>
    </row>
    <row r="73" spans="1:21" x14ac:dyDescent="0.2">
      <c r="A73" s="13">
        <v>73</v>
      </c>
      <c r="B73" s="27">
        <f t="shared" si="31"/>
        <v>0</v>
      </c>
      <c r="C73" s="27">
        <f t="shared" si="32"/>
        <v>0</v>
      </c>
      <c r="D73" s="27">
        <f t="shared" si="33"/>
        <v>0</v>
      </c>
      <c r="K73" s="14"/>
      <c r="M73" s="12"/>
      <c r="N73" s="12"/>
      <c r="O73" s="12"/>
      <c r="S73" s="23"/>
      <c r="T73" s="23"/>
      <c r="U73" s="23"/>
    </row>
    <row r="74" spans="1:21" x14ac:dyDescent="0.2">
      <c r="A74" s="13">
        <v>74</v>
      </c>
      <c r="B74" s="27">
        <f t="shared" si="31"/>
        <v>0</v>
      </c>
      <c r="C74" s="27">
        <f t="shared" si="32"/>
        <v>0</v>
      </c>
      <c r="D74" s="27">
        <f t="shared" si="33"/>
        <v>0</v>
      </c>
      <c r="K74" s="14"/>
      <c r="M74" s="12"/>
      <c r="N74" s="12"/>
      <c r="O74" s="12"/>
      <c r="S74" s="23"/>
      <c r="T74" s="23"/>
      <c r="U74" s="23"/>
    </row>
    <row r="75" spans="1:21" x14ac:dyDescent="0.2">
      <c r="A75" s="13">
        <v>75</v>
      </c>
      <c r="B75" s="27">
        <f t="shared" si="31"/>
        <v>0</v>
      </c>
      <c r="C75" s="27">
        <f t="shared" si="32"/>
        <v>0</v>
      </c>
      <c r="D75" s="27">
        <f t="shared" si="33"/>
        <v>0</v>
      </c>
      <c r="K75" s="14"/>
      <c r="M75" s="12"/>
      <c r="N75" s="12"/>
      <c r="O75" s="12"/>
      <c r="S75" s="23"/>
      <c r="T75" s="23"/>
      <c r="U75" s="23"/>
    </row>
    <row r="76" spans="1:21" x14ac:dyDescent="0.2">
      <c r="A76" s="13">
        <v>76</v>
      </c>
      <c r="B76" s="27">
        <f t="shared" si="31"/>
        <v>0</v>
      </c>
      <c r="C76" s="27">
        <f t="shared" si="32"/>
        <v>0</v>
      </c>
      <c r="D76" s="27">
        <f t="shared" si="33"/>
        <v>0</v>
      </c>
      <c r="K76" s="14"/>
      <c r="M76" s="12"/>
      <c r="N76" s="12"/>
      <c r="O76" s="12"/>
      <c r="S76" s="23"/>
      <c r="T76" s="23"/>
      <c r="U76" s="23"/>
    </row>
    <row r="77" spans="1:21" x14ac:dyDescent="0.2">
      <c r="A77" s="13">
        <v>77</v>
      </c>
      <c r="B77" s="27">
        <f t="shared" si="31"/>
        <v>0</v>
      </c>
      <c r="C77" s="27">
        <f t="shared" si="32"/>
        <v>0</v>
      </c>
      <c r="D77" s="27">
        <f t="shared" si="33"/>
        <v>0</v>
      </c>
      <c r="K77" s="14"/>
      <c r="M77" s="12"/>
      <c r="N77" s="12"/>
      <c r="O77" s="12"/>
      <c r="S77" s="23"/>
      <c r="T77" s="23"/>
      <c r="U77" s="23"/>
    </row>
    <row r="78" spans="1:21" x14ac:dyDescent="0.2">
      <c r="A78" s="13">
        <v>78</v>
      </c>
      <c r="B78" s="27">
        <f t="shared" si="31"/>
        <v>0</v>
      </c>
      <c r="C78" s="27">
        <f t="shared" si="32"/>
        <v>0</v>
      </c>
      <c r="D78" s="27">
        <f t="shared" si="33"/>
        <v>0</v>
      </c>
      <c r="K78" s="14"/>
      <c r="M78" s="12"/>
      <c r="N78" s="12"/>
      <c r="O78" s="12"/>
      <c r="S78" s="23"/>
      <c r="T78" s="23"/>
      <c r="U78" s="23"/>
    </row>
    <row r="79" spans="1:21" x14ac:dyDescent="0.2">
      <c r="A79" s="13">
        <v>79</v>
      </c>
      <c r="B79" s="27">
        <f t="shared" si="31"/>
        <v>0</v>
      </c>
      <c r="C79" s="27">
        <f t="shared" si="32"/>
        <v>0</v>
      </c>
      <c r="D79" s="27">
        <f t="shared" si="33"/>
        <v>0</v>
      </c>
      <c r="K79" s="14"/>
      <c r="M79" s="12"/>
      <c r="N79" s="12"/>
      <c r="O79" s="12"/>
      <c r="S79" s="23"/>
      <c r="T79" s="23"/>
      <c r="U79" s="23"/>
    </row>
    <row r="80" spans="1:21" x14ac:dyDescent="0.2">
      <c r="A80" s="13">
        <v>80</v>
      </c>
      <c r="B80" s="27">
        <f t="shared" si="31"/>
        <v>0</v>
      </c>
      <c r="C80" s="27">
        <f t="shared" si="32"/>
        <v>0</v>
      </c>
      <c r="D80" s="27">
        <f t="shared" si="33"/>
        <v>0</v>
      </c>
      <c r="K80" s="14"/>
      <c r="M80" s="12"/>
      <c r="N80" s="12"/>
      <c r="O80" s="12"/>
      <c r="S80" s="23"/>
      <c r="T80" s="23"/>
      <c r="U80" s="23"/>
    </row>
    <row r="81" spans="1:21" x14ac:dyDescent="0.2">
      <c r="A81" s="13">
        <v>81</v>
      </c>
      <c r="B81" s="27">
        <f t="shared" si="31"/>
        <v>0</v>
      </c>
      <c r="C81" s="27">
        <f t="shared" si="32"/>
        <v>0</v>
      </c>
      <c r="D81" s="27">
        <f t="shared" si="33"/>
        <v>0</v>
      </c>
      <c r="K81" s="14"/>
      <c r="M81" s="12"/>
      <c r="N81" s="12"/>
      <c r="O81" s="12"/>
      <c r="S81" s="23"/>
      <c r="T81" s="23"/>
      <c r="U81" s="23"/>
    </row>
    <row r="82" spans="1:21" x14ac:dyDescent="0.2">
      <c r="A82" s="13">
        <v>82</v>
      </c>
      <c r="B82" s="27">
        <f t="shared" si="31"/>
        <v>0</v>
      </c>
      <c r="C82" s="27">
        <f t="shared" si="32"/>
        <v>0</v>
      </c>
      <c r="D82" s="27">
        <f t="shared" si="33"/>
        <v>0</v>
      </c>
      <c r="K82" s="14"/>
      <c r="M82" s="12"/>
      <c r="N82" s="12"/>
      <c r="O82" s="12"/>
      <c r="S82" s="23"/>
      <c r="T82" s="23"/>
      <c r="U82" s="23"/>
    </row>
    <row r="83" spans="1:21" x14ac:dyDescent="0.2">
      <c r="A83" s="13">
        <v>83</v>
      </c>
      <c r="B83" s="27">
        <f t="shared" si="31"/>
        <v>0</v>
      </c>
      <c r="C83" s="27">
        <f t="shared" si="32"/>
        <v>0</v>
      </c>
      <c r="D83" s="27">
        <f t="shared" si="33"/>
        <v>0</v>
      </c>
      <c r="K83" s="14"/>
      <c r="M83" s="12"/>
      <c r="N83" s="12"/>
      <c r="O83" s="12"/>
      <c r="S83" s="23"/>
      <c r="T83" s="23"/>
      <c r="U83" s="23"/>
    </row>
    <row r="84" spans="1:21" x14ac:dyDescent="0.2">
      <c r="A84" s="13">
        <v>84</v>
      </c>
      <c r="B84" s="27">
        <f t="shared" si="31"/>
        <v>0</v>
      </c>
      <c r="C84" s="27">
        <f t="shared" si="32"/>
        <v>0</v>
      </c>
      <c r="D84" s="27">
        <f t="shared" si="33"/>
        <v>0</v>
      </c>
      <c r="K84" s="14"/>
      <c r="M84" s="12"/>
      <c r="N84" s="12"/>
      <c r="O84" s="12"/>
      <c r="S84" s="23"/>
      <c r="T84" s="23"/>
      <c r="U84" s="23"/>
    </row>
    <row r="85" spans="1:21" x14ac:dyDescent="0.2">
      <c r="A85" s="13">
        <v>85</v>
      </c>
      <c r="B85" s="27">
        <f t="shared" si="31"/>
        <v>0</v>
      </c>
      <c r="C85" s="27">
        <f t="shared" si="32"/>
        <v>0</v>
      </c>
      <c r="D85" s="27">
        <f t="shared" si="33"/>
        <v>0</v>
      </c>
      <c r="K85" s="14"/>
      <c r="M85" s="12"/>
      <c r="N85" s="12"/>
      <c r="O85" s="12"/>
      <c r="S85" s="23"/>
      <c r="T85" s="23"/>
      <c r="U85" s="23"/>
    </row>
    <row r="86" spans="1:21" x14ac:dyDescent="0.2">
      <c r="A86" s="13">
        <v>86</v>
      </c>
      <c r="B86" s="27">
        <f t="shared" si="31"/>
        <v>0</v>
      </c>
      <c r="C86" s="27">
        <f t="shared" si="32"/>
        <v>0</v>
      </c>
      <c r="D86" s="27">
        <f t="shared" si="33"/>
        <v>0</v>
      </c>
      <c r="K86" s="14"/>
      <c r="M86" s="12"/>
      <c r="N86" s="12"/>
      <c r="O86" s="12"/>
      <c r="S86" s="23"/>
      <c r="T86" s="23"/>
      <c r="U86" s="23"/>
    </row>
    <row r="87" spans="1:21" x14ac:dyDescent="0.2">
      <c r="A87" s="13">
        <v>87</v>
      </c>
      <c r="B87" s="27">
        <f t="shared" si="31"/>
        <v>0</v>
      </c>
      <c r="C87" s="27">
        <f t="shared" si="32"/>
        <v>0</v>
      </c>
      <c r="D87" s="27">
        <f t="shared" si="33"/>
        <v>0</v>
      </c>
      <c r="K87" s="14"/>
      <c r="M87" s="12"/>
      <c r="N87" s="12"/>
      <c r="O87" s="12"/>
      <c r="S87" s="23"/>
      <c r="T87" s="23"/>
      <c r="U87" s="23"/>
    </row>
    <row r="88" spans="1:21" x14ac:dyDescent="0.2">
      <c r="A88" s="13">
        <v>88</v>
      </c>
      <c r="B88" s="27">
        <f t="shared" si="31"/>
        <v>0</v>
      </c>
      <c r="C88" s="27">
        <f t="shared" si="32"/>
        <v>0</v>
      </c>
      <c r="D88" s="27">
        <f t="shared" si="33"/>
        <v>0</v>
      </c>
      <c r="K88" s="14"/>
      <c r="M88" s="12"/>
      <c r="N88" s="12"/>
      <c r="O88" s="12"/>
      <c r="S88" s="23"/>
      <c r="T88" s="23"/>
      <c r="U88" s="23"/>
    </row>
    <row r="89" spans="1:21" x14ac:dyDescent="0.2">
      <c r="A89" s="13">
        <v>89</v>
      </c>
      <c r="B89" s="27">
        <f t="shared" si="31"/>
        <v>0</v>
      </c>
      <c r="C89" s="27">
        <f t="shared" si="32"/>
        <v>0</v>
      </c>
      <c r="D89" s="27">
        <f t="shared" si="33"/>
        <v>0</v>
      </c>
      <c r="K89" s="14"/>
      <c r="M89" s="12"/>
      <c r="N89" s="12"/>
      <c r="O89" s="12"/>
      <c r="S89" s="23"/>
      <c r="T89" s="23"/>
      <c r="U89" s="23"/>
    </row>
    <row r="90" spans="1:21" x14ac:dyDescent="0.2">
      <c r="A90" s="13">
        <v>90</v>
      </c>
      <c r="B90" s="27">
        <f t="shared" si="31"/>
        <v>0</v>
      </c>
      <c r="C90" s="27">
        <f t="shared" si="32"/>
        <v>0</v>
      </c>
      <c r="D90" s="27">
        <f t="shared" si="33"/>
        <v>0</v>
      </c>
      <c r="K90" s="14"/>
      <c r="M90" s="12"/>
      <c r="N90" s="12"/>
      <c r="O90" s="12"/>
      <c r="S90" s="23"/>
      <c r="T90" s="23"/>
      <c r="U90" s="23"/>
    </row>
    <row r="91" spans="1:21" x14ac:dyDescent="0.2">
      <c r="A91" s="13">
        <v>91</v>
      </c>
      <c r="B91" s="27">
        <f t="shared" si="31"/>
        <v>0</v>
      </c>
      <c r="C91" s="27">
        <f t="shared" si="32"/>
        <v>0</v>
      </c>
      <c r="D91" s="27">
        <f t="shared" si="33"/>
        <v>0</v>
      </c>
      <c r="K91" s="14"/>
      <c r="M91" s="12"/>
      <c r="N91" s="12"/>
      <c r="O91" s="12"/>
      <c r="S91" s="23"/>
      <c r="T91" s="23"/>
      <c r="U91" s="23"/>
    </row>
    <row r="92" spans="1:21" x14ac:dyDescent="0.2">
      <c r="A92" s="13">
        <v>92</v>
      </c>
      <c r="B92" s="27">
        <f t="shared" si="31"/>
        <v>0</v>
      </c>
      <c r="C92" s="27">
        <f t="shared" si="32"/>
        <v>0</v>
      </c>
      <c r="D92" s="27">
        <f t="shared" si="33"/>
        <v>0</v>
      </c>
      <c r="K92" s="14"/>
      <c r="M92" s="12"/>
      <c r="N92" s="12"/>
      <c r="O92" s="12"/>
      <c r="S92" s="23"/>
      <c r="T92" s="23"/>
      <c r="U92" s="23"/>
    </row>
    <row r="93" spans="1:21" x14ac:dyDescent="0.2">
      <c r="A93" s="13">
        <v>93</v>
      </c>
      <c r="B93" s="27">
        <f t="shared" si="31"/>
        <v>0</v>
      </c>
      <c r="C93" s="27">
        <f t="shared" si="32"/>
        <v>0</v>
      </c>
      <c r="D93" s="27">
        <f t="shared" si="33"/>
        <v>0</v>
      </c>
      <c r="K93" s="14"/>
      <c r="M93" s="12"/>
      <c r="N93" s="12"/>
      <c r="O93" s="12"/>
      <c r="S93" s="23"/>
      <c r="T93" s="23"/>
      <c r="U93" s="23"/>
    </row>
    <row r="94" spans="1:21" x14ac:dyDescent="0.2">
      <c r="A94" s="13">
        <v>94</v>
      </c>
      <c r="B94" s="27">
        <f t="shared" si="31"/>
        <v>0</v>
      </c>
      <c r="C94" s="27">
        <f t="shared" si="32"/>
        <v>0</v>
      </c>
      <c r="D94" s="27">
        <f t="shared" si="33"/>
        <v>0</v>
      </c>
      <c r="K94" s="14"/>
      <c r="M94" s="12"/>
      <c r="N94" s="12"/>
      <c r="O94" s="12"/>
      <c r="S94" s="23"/>
      <c r="T94" s="23"/>
      <c r="U94" s="23"/>
    </row>
    <row r="95" spans="1:21" x14ac:dyDescent="0.2">
      <c r="A95" s="13">
        <v>95</v>
      </c>
      <c r="B95" s="27">
        <f t="shared" si="31"/>
        <v>0</v>
      </c>
      <c r="C95" s="27">
        <f t="shared" si="32"/>
        <v>0</v>
      </c>
      <c r="D95" s="27">
        <f t="shared" si="33"/>
        <v>0</v>
      </c>
      <c r="K95" s="14"/>
      <c r="M95" s="12"/>
      <c r="N95" s="12"/>
      <c r="O95" s="12"/>
      <c r="S95" s="23"/>
      <c r="T95" s="23"/>
      <c r="U95" s="23"/>
    </row>
    <row r="96" spans="1:21" x14ac:dyDescent="0.2">
      <c r="A96" s="13">
        <v>96</v>
      </c>
      <c r="B96" s="27">
        <f t="shared" si="31"/>
        <v>0</v>
      </c>
      <c r="C96" s="27">
        <f t="shared" si="32"/>
        <v>0</v>
      </c>
      <c r="D96" s="27">
        <f t="shared" si="33"/>
        <v>0</v>
      </c>
      <c r="K96" s="14"/>
      <c r="M96" s="12"/>
      <c r="N96" s="12"/>
      <c r="O96" s="12"/>
      <c r="S96" s="23"/>
      <c r="T96" s="23"/>
      <c r="U96" s="23"/>
    </row>
    <row r="97" spans="1:21" x14ac:dyDescent="0.2">
      <c r="A97" s="13">
        <v>97</v>
      </c>
      <c r="B97" s="27">
        <f t="shared" si="31"/>
        <v>0</v>
      </c>
      <c r="C97" s="27">
        <f t="shared" si="32"/>
        <v>0</v>
      </c>
      <c r="D97" s="27">
        <f t="shared" si="33"/>
        <v>0</v>
      </c>
      <c r="K97" s="14"/>
      <c r="M97" s="12"/>
      <c r="N97" s="12"/>
      <c r="O97" s="12"/>
      <c r="S97" s="23"/>
      <c r="T97" s="23"/>
      <c r="U97" s="23"/>
    </row>
    <row r="98" spans="1:21" x14ac:dyDescent="0.2">
      <c r="A98" s="13">
        <v>98</v>
      </c>
      <c r="B98" s="27">
        <f t="shared" si="31"/>
        <v>0</v>
      </c>
      <c r="C98" s="27">
        <f t="shared" si="32"/>
        <v>0</v>
      </c>
      <c r="D98" s="27">
        <f t="shared" si="33"/>
        <v>0</v>
      </c>
      <c r="K98" s="14"/>
      <c r="M98" s="12"/>
      <c r="N98" s="12"/>
      <c r="O98" s="12"/>
      <c r="S98" s="23"/>
      <c r="T98" s="23"/>
      <c r="U98" s="23"/>
    </row>
    <row r="99" spans="1:21" x14ac:dyDescent="0.2">
      <c r="A99" s="13">
        <v>99</v>
      </c>
      <c r="B99" s="27">
        <f t="shared" si="31"/>
        <v>0</v>
      </c>
      <c r="C99" s="27">
        <f t="shared" si="32"/>
        <v>0</v>
      </c>
      <c r="D99" s="27">
        <f t="shared" si="33"/>
        <v>0</v>
      </c>
      <c r="K99" s="14"/>
      <c r="M99" s="12"/>
      <c r="N99" s="12"/>
      <c r="O99" s="12"/>
      <c r="S99" s="23"/>
      <c r="T99" s="23"/>
      <c r="U99" s="23"/>
    </row>
    <row r="100" spans="1:21" x14ac:dyDescent="0.2">
      <c r="A100" s="13">
        <v>100</v>
      </c>
      <c r="B100" s="27">
        <f t="shared" si="31"/>
        <v>0</v>
      </c>
      <c r="C100" s="27">
        <f t="shared" si="32"/>
        <v>0</v>
      </c>
      <c r="D100" s="27">
        <f t="shared" si="33"/>
        <v>0</v>
      </c>
      <c r="K100" s="14"/>
      <c r="M100" s="12"/>
      <c r="N100" s="12"/>
      <c r="O100" s="12"/>
      <c r="S100" s="23"/>
      <c r="T100" s="23"/>
      <c r="U100" s="23"/>
    </row>
    <row r="101" spans="1:21" x14ac:dyDescent="0.2">
      <c r="A101" s="13" t="s">
        <v>52</v>
      </c>
      <c r="B101" s="13"/>
      <c r="C101" s="33"/>
      <c r="D101" s="33"/>
      <c r="K101" s="13"/>
      <c r="R101" s="13"/>
    </row>
    <row r="102" spans="1:21" x14ac:dyDescent="0.2">
      <c r="K102" s="7"/>
    </row>
    <row r="103" spans="1:21" x14ac:dyDescent="0.2">
      <c r="K103" s="7"/>
    </row>
    <row r="104" spans="1:21" x14ac:dyDescent="0.2">
      <c r="K104" s="7"/>
    </row>
    <row r="105" spans="1:21" x14ac:dyDescent="0.2">
      <c r="K105" s="7"/>
    </row>
    <row r="106" spans="1:21" x14ac:dyDescent="0.2">
      <c r="K106" s="7"/>
    </row>
    <row r="107" spans="1:21" x14ac:dyDescent="0.2">
      <c r="K107" s="7"/>
    </row>
    <row r="108" spans="1:21" x14ac:dyDescent="0.2">
      <c r="K108" s="7"/>
    </row>
    <row r="109" spans="1:21" x14ac:dyDescent="0.2">
      <c r="K109" s="7"/>
    </row>
    <row r="110" spans="1:21" x14ac:dyDescent="0.2">
      <c r="K110" s="7"/>
    </row>
    <row r="111" spans="1:21" x14ac:dyDescent="0.2">
      <c r="K111" s="7"/>
    </row>
    <row r="112" spans="1:21" x14ac:dyDescent="0.2">
      <c r="K112" s="7"/>
    </row>
    <row r="113" spans="11:11" x14ac:dyDescent="0.2">
      <c r="K113" s="7"/>
    </row>
    <row r="114" spans="11:11" x14ac:dyDescent="0.2">
      <c r="K114" s="7"/>
    </row>
    <row r="115" spans="11:11" x14ac:dyDescent="0.2">
      <c r="K115" s="7"/>
    </row>
    <row r="116" spans="11:11" x14ac:dyDescent="0.2">
      <c r="K116" s="7"/>
    </row>
    <row r="117" spans="11:11" x14ac:dyDescent="0.2">
      <c r="K117" s="7"/>
    </row>
    <row r="118" spans="11:11" x14ac:dyDescent="0.2">
      <c r="K118" s="7"/>
    </row>
    <row r="119" spans="11:11" x14ac:dyDescent="0.2">
      <c r="K119" s="7"/>
    </row>
    <row r="120" spans="11:11" x14ac:dyDescent="0.2">
      <c r="K120" s="7"/>
    </row>
    <row r="121" spans="11:11" x14ac:dyDescent="0.2">
      <c r="K121" s="7"/>
    </row>
    <row r="122" spans="11:11" x14ac:dyDescent="0.2">
      <c r="K122" s="7"/>
    </row>
    <row r="123" spans="11:11" x14ac:dyDescent="0.2">
      <c r="K123" s="7"/>
    </row>
    <row r="124" spans="11:11" x14ac:dyDescent="0.2">
      <c r="K124" s="7"/>
    </row>
    <row r="125" spans="11:11" x14ac:dyDescent="0.2">
      <c r="K125" s="7"/>
    </row>
    <row r="126" spans="11:11" x14ac:dyDescent="0.2">
      <c r="K126" s="7"/>
    </row>
    <row r="127" spans="11:11" x14ac:dyDescent="0.2">
      <c r="K127" s="7"/>
    </row>
    <row r="128" spans="11:11" x14ac:dyDescent="0.2">
      <c r="K128" s="7"/>
    </row>
    <row r="129" spans="11:11" x14ac:dyDescent="0.2">
      <c r="K129" s="7"/>
    </row>
    <row r="130" spans="11:11" x14ac:dyDescent="0.2">
      <c r="K130" s="7"/>
    </row>
    <row r="131" spans="11:11" x14ac:dyDescent="0.2">
      <c r="K131" s="7"/>
    </row>
    <row r="132" spans="11:11" x14ac:dyDescent="0.2">
      <c r="K132" s="7"/>
    </row>
    <row r="133" spans="11:11" x14ac:dyDescent="0.2">
      <c r="K133" s="7"/>
    </row>
    <row r="134" spans="11:11" x14ac:dyDescent="0.2">
      <c r="K134" s="7"/>
    </row>
    <row r="135" spans="11:11" x14ac:dyDescent="0.2">
      <c r="K135" s="7"/>
    </row>
    <row r="136" spans="11:11" x14ac:dyDescent="0.2">
      <c r="K136" s="7"/>
    </row>
    <row r="137" spans="11:11" x14ac:dyDescent="0.2">
      <c r="K137" s="7"/>
    </row>
    <row r="138" spans="11:11" x14ac:dyDescent="0.2">
      <c r="K138" s="7"/>
    </row>
    <row r="139" spans="11:11" x14ac:dyDescent="0.2">
      <c r="K139" s="7"/>
    </row>
    <row r="140" spans="11:11" x14ac:dyDescent="0.2">
      <c r="K140" s="7"/>
    </row>
    <row r="141" spans="11:11" x14ac:dyDescent="0.2">
      <c r="K141" s="7"/>
    </row>
    <row r="142" spans="11:11" x14ac:dyDescent="0.2">
      <c r="K142" s="7"/>
    </row>
    <row r="143" spans="11:11" x14ac:dyDescent="0.2">
      <c r="K143" s="7"/>
    </row>
    <row r="144" spans="11:11" x14ac:dyDescent="0.2">
      <c r="K144" s="7"/>
    </row>
    <row r="145" spans="11:11" x14ac:dyDescent="0.2">
      <c r="K145" s="7"/>
    </row>
    <row r="146" spans="11:11" x14ac:dyDescent="0.2">
      <c r="K146" s="7"/>
    </row>
    <row r="147" spans="11:11" x14ac:dyDescent="0.2">
      <c r="K147" s="7"/>
    </row>
    <row r="148" spans="11:11" x14ac:dyDescent="0.2">
      <c r="K148" s="7"/>
    </row>
    <row r="149" spans="11:11" x14ac:dyDescent="0.2">
      <c r="K149" s="7"/>
    </row>
    <row r="150" spans="11:11" x14ac:dyDescent="0.2">
      <c r="K150" s="7"/>
    </row>
    <row r="151" spans="11:11" x14ac:dyDescent="0.2">
      <c r="K151" s="7"/>
    </row>
    <row r="152" spans="11:11" x14ac:dyDescent="0.2">
      <c r="K152" s="7"/>
    </row>
    <row r="153" spans="11:11" x14ac:dyDescent="0.2">
      <c r="K153" s="7"/>
    </row>
    <row r="154" spans="11:11" x14ac:dyDescent="0.2">
      <c r="K154" s="7"/>
    </row>
    <row r="155" spans="11:11" x14ac:dyDescent="0.2">
      <c r="K155" s="7"/>
    </row>
    <row r="156" spans="11:11" x14ac:dyDescent="0.2">
      <c r="K156" s="7"/>
    </row>
    <row r="157" spans="11:11" x14ac:dyDescent="0.2">
      <c r="K157" s="7"/>
    </row>
    <row r="158" spans="11:11" x14ac:dyDescent="0.2">
      <c r="K158" s="7"/>
    </row>
    <row r="159" spans="11:11" x14ac:dyDescent="0.2">
      <c r="K159" s="7"/>
    </row>
    <row r="160" spans="11:11" x14ac:dyDescent="0.2">
      <c r="K160" s="7"/>
    </row>
    <row r="161" spans="11:11" x14ac:dyDescent="0.2">
      <c r="K161" s="7"/>
    </row>
    <row r="162" spans="11:11" x14ac:dyDescent="0.2">
      <c r="K162" s="7"/>
    </row>
    <row r="163" spans="11:11" x14ac:dyDescent="0.2">
      <c r="K163" s="7"/>
    </row>
    <row r="164" spans="11:11" x14ac:dyDescent="0.2">
      <c r="K164" s="7"/>
    </row>
    <row r="165" spans="11:11" x14ac:dyDescent="0.2">
      <c r="K165" s="7"/>
    </row>
    <row r="166" spans="11:11" x14ac:dyDescent="0.2">
      <c r="K166" s="7"/>
    </row>
    <row r="167" spans="11:11" x14ac:dyDescent="0.2">
      <c r="K167" s="7"/>
    </row>
    <row r="168" spans="11:11" x14ac:dyDescent="0.2">
      <c r="K168" s="7"/>
    </row>
    <row r="169" spans="11:11" x14ac:dyDescent="0.2">
      <c r="K169" s="7"/>
    </row>
    <row r="170" spans="11:11" x14ac:dyDescent="0.2">
      <c r="K170" s="7"/>
    </row>
    <row r="171" spans="11:11" x14ac:dyDescent="0.2">
      <c r="K171" s="7"/>
    </row>
    <row r="172" spans="11:11" x14ac:dyDescent="0.2">
      <c r="K172" s="7"/>
    </row>
    <row r="173" spans="11:11" x14ac:dyDescent="0.2">
      <c r="K173" s="7"/>
    </row>
    <row r="174" spans="11:11" x14ac:dyDescent="0.2">
      <c r="K174" s="7"/>
    </row>
    <row r="175" spans="11:11" x14ac:dyDescent="0.2">
      <c r="K175" s="7"/>
    </row>
    <row r="176" spans="11:11" x14ac:dyDescent="0.2">
      <c r="K176" s="7"/>
    </row>
    <row r="177" spans="11:11" x14ac:dyDescent="0.2">
      <c r="K177" s="7"/>
    </row>
    <row r="178" spans="11:11" x14ac:dyDescent="0.2">
      <c r="K178" s="7"/>
    </row>
    <row r="179" spans="11:11" x14ac:dyDescent="0.2">
      <c r="K179" s="7"/>
    </row>
    <row r="180" spans="11:11" x14ac:dyDescent="0.2">
      <c r="K180" s="7"/>
    </row>
    <row r="181" spans="11:11" x14ac:dyDescent="0.2">
      <c r="K181" s="7"/>
    </row>
    <row r="182" spans="11:11" x14ac:dyDescent="0.2">
      <c r="K182" s="7"/>
    </row>
    <row r="183" spans="11:11" x14ac:dyDescent="0.2">
      <c r="K183" s="7"/>
    </row>
    <row r="184" spans="11:11" x14ac:dyDescent="0.2">
      <c r="K184" s="7"/>
    </row>
    <row r="185" spans="11:11" x14ac:dyDescent="0.2">
      <c r="K185" s="7"/>
    </row>
    <row r="186" spans="11:11" x14ac:dyDescent="0.2">
      <c r="K186" s="7"/>
    </row>
    <row r="187" spans="11:11" x14ac:dyDescent="0.2">
      <c r="K187" s="7"/>
    </row>
    <row r="188" spans="11:11" x14ac:dyDescent="0.2">
      <c r="K188" s="7"/>
    </row>
    <row r="189" spans="11:11" x14ac:dyDescent="0.2">
      <c r="K189" s="7"/>
    </row>
    <row r="190" spans="11:11" x14ac:dyDescent="0.2">
      <c r="K190" s="7"/>
    </row>
    <row r="191" spans="11:11" x14ac:dyDescent="0.2">
      <c r="K191" s="7"/>
    </row>
    <row r="192" spans="11:11" x14ac:dyDescent="0.2">
      <c r="K192" s="7"/>
    </row>
    <row r="193" spans="11:11" x14ac:dyDescent="0.2">
      <c r="K193" s="7"/>
    </row>
    <row r="194" spans="11:11" x14ac:dyDescent="0.2">
      <c r="K194" s="7"/>
    </row>
    <row r="195" spans="11:11" x14ac:dyDescent="0.2">
      <c r="K195" s="7"/>
    </row>
    <row r="196" spans="11:11" x14ac:dyDescent="0.2">
      <c r="K196" s="7"/>
    </row>
    <row r="197" spans="11:11" x14ac:dyDescent="0.2">
      <c r="K197" s="7"/>
    </row>
    <row r="198" spans="11:11" x14ac:dyDescent="0.2">
      <c r="K198" s="7"/>
    </row>
    <row r="199" spans="11:11" x14ac:dyDescent="0.2">
      <c r="K199" s="7"/>
    </row>
    <row r="200" spans="11:11" x14ac:dyDescent="0.2">
      <c r="K200" s="7"/>
    </row>
    <row r="201" spans="11:11" x14ac:dyDescent="0.2">
      <c r="K201" s="7"/>
    </row>
    <row r="202" spans="11:11" x14ac:dyDescent="0.2">
      <c r="K202" s="7"/>
    </row>
    <row r="203" spans="11:11" x14ac:dyDescent="0.2">
      <c r="K203" s="7"/>
    </row>
    <row r="204" spans="11:11" x14ac:dyDescent="0.2">
      <c r="K204" s="7"/>
    </row>
    <row r="205" spans="11:11" x14ac:dyDescent="0.2">
      <c r="K205" s="7"/>
    </row>
    <row r="206" spans="11:11" x14ac:dyDescent="0.2">
      <c r="K206" s="7"/>
    </row>
    <row r="207" spans="11:11" x14ac:dyDescent="0.2">
      <c r="K207" s="7"/>
    </row>
    <row r="208" spans="11:11" x14ac:dyDescent="0.2">
      <c r="K208" s="7"/>
    </row>
    <row r="209" spans="11:11" x14ac:dyDescent="0.2">
      <c r="K209" s="7"/>
    </row>
    <row r="210" spans="11:11" x14ac:dyDescent="0.2">
      <c r="K210" s="7"/>
    </row>
    <row r="211" spans="11:11" x14ac:dyDescent="0.2">
      <c r="K211" s="7"/>
    </row>
    <row r="212" spans="11:11" x14ac:dyDescent="0.2">
      <c r="K212" s="7"/>
    </row>
    <row r="213" spans="11:11" x14ac:dyDescent="0.2">
      <c r="K213" s="7"/>
    </row>
    <row r="214" spans="11:11" x14ac:dyDescent="0.2">
      <c r="K214" s="7"/>
    </row>
    <row r="215" spans="11:11" x14ac:dyDescent="0.2">
      <c r="K215" s="7"/>
    </row>
    <row r="216" spans="11:11" x14ac:dyDescent="0.2">
      <c r="K216" s="7"/>
    </row>
    <row r="217" spans="11:11" x14ac:dyDescent="0.2">
      <c r="K217" s="7"/>
    </row>
    <row r="218" spans="11:11" x14ac:dyDescent="0.2">
      <c r="K218" s="7"/>
    </row>
    <row r="219" spans="11:11" x14ac:dyDescent="0.2">
      <c r="K219" s="7"/>
    </row>
    <row r="220" spans="11:11" x14ac:dyDescent="0.2">
      <c r="K220" s="7"/>
    </row>
    <row r="221" spans="11:11" x14ac:dyDescent="0.2">
      <c r="K221" s="7"/>
    </row>
    <row r="222" spans="11:11" x14ac:dyDescent="0.2">
      <c r="K222" s="7"/>
    </row>
    <row r="223" spans="11:11" x14ac:dyDescent="0.2">
      <c r="K223" s="7"/>
    </row>
    <row r="224" spans="11:11" x14ac:dyDescent="0.2">
      <c r="K224" s="7"/>
    </row>
    <row r="225" spans="11:11" x14ac:dyDescent="0.2">
      <c r="K225" s="7"/>
    </row>
    <row r="226" spans="11:11" x14ac:dyDescent="0.2">
      <c r="K226" s="7"/>
    </row>
    <row r="227" spans="11:11" x14ac:dyDescent="0.2">
      <c r="K227" s="7"/>
    </row>
    <row r="228" spans="11:11" x14ac:dyDescent="0.2">
      <c r="K228" s="7"/>
    </row>
    <row r="229" spans="11:11" x14ac:dyDescent="0.2">
      <c r="K229" s="7"/>
    </row>
    <row r="230" spans="11:11" x14ac:dyDescent="0.2">
      <c r="K230" s="7"/>
    </row>
    <row r="231" spans="11:11" x14ac:dyDescent="0.2">
      <c r="K231" s="7"/>
    </row>
    <row r="232" spans="11:11" x14ac:dyDescent="0.2">
      <c r="K232" s="7"/>
    </row>
    <row r="233" spans="11:11" x14ac:dyDescent="0.2">
      <c r="K233" s="7"/>
    </row>
    <row r="234" spans="11:11" x14ac:dyDescent="0.2">
      <c r="K234" s="7"/>
    </row>
    <row r="235" spans="11:11" x14ac:dyDescent="0.2">
      <c r="K235" s="7"/>
    </row>
    <row r="236" spans="11:11" x14ac:dyDescent="0.2">
      <c r="K236" s="7"/>
    </row>
    <row r="237" spans="11:11" x14ac:dyDescent="0.2">
      <c r="K237" s="7"/>
    </row>
    <row r="238" spans="11:11" x14ac:dyDescent="0.2">
      <c r="K238" s="7"/>
    </row>
    <row r="239" spans="11:11" x14ac:dyDescent="0.2">
      <c r="K239" s="7"/>
    </row>
    <row r="240" spans="11:11" x14ac:dyDescent="0.2">
      <c r="K240" s="7"/>
    </row>
    <row r="241" spans="11:11" x14ac:dyDescent="0.2">
      <c r="K241" s="7"/>
    </row>
    <row r="242" spans="11:11" x14ac:dyDescent="0.2">
      <c r="K242" s="7"/>
    </row>
    <row r="243" spans="11:11" x14ac:dyDescent="0.2">
      <c r="K243" s="7"/>
    </row>
    <row r="244" spans="11:11" x14ac:dyDescent="0.2">
      <c r="K244" s="7"/>
    </row>
    <row r="245" spans="11:11" x14ac:dyDescent="0.2">
      <c r="K245" s="7"/>
    </row>
    <row r="246" spans="11:11" x14ac:dyDescent="0.2">
      <c r="K246" s="7"/>
    </row>
    <row r="247" spans="11:11" x14ac:dyDescent="0.2">
      <c r="K247" s="7"/>
    </row>
    <row r="248" spans="11:11" x14ac:dyDescent="0.2">
      <c r="K248" s="7"/>
    </row>
    <row r="249" spans="11:11" x14ac:dyDescent="0.2">
      <c r="K249" s="7"/>
    </row>
    <row r="250" spans="11:11" x14ac:dyDescent="0.2">
      <c r="K250" s="7"/>
    </row>
    <row r="251" spans="11:11" x14ac:dyDescent="0.2">
      <c r="K251" s="7"/>
    </row>
    <row r="252" spans="11:11" x14ac:dyDescent="0.2">
      <c r="K252" s="7"/>
    </row>
    <row r="253" spans="11:11" x14ac:dyDescent="0.2">
      <c r="K253" s="7"/>
    </row>
    <row r="254" spans="11:11" x14ac:dyDescent="0.2">
      <c r="K254" s="7"/>
    </row>
    <row r="255" spans="11:11" x14ac:dyDescent="0.2">
      <c r="K255" s="7"/>
    </row>
    <row r="256" spans="11:11" x14ac:dyDescent="0.2">
      <c r="K256" s="7"/>
    </row>
    <row r="257" spans="11:11" x14ac:dyDescent="0.2">
      <c r="K257" s="7"/>
    </row>
    <row r="258" spans="11:11" x14ac:dyDescent="0.2">
      <c r="K258" s="7"/>
    </row>
    <row r="259" spans="11:11" x14ac:dyDescent="0.2">
      <c r="K259" s="7"/>
    </row>
    <row r="260" spans="11:11" x14ac:dyDescent="0.2">
      <c r="K260" s="7"/>
    </row>
    <row r="261" spans="11:11" x14ac:dyDescent="0.2">
      <c r="K261" s="7"/>
    </row>
    <row r="262" spans="11:11" x14ac:dyDescent="0.2">
      <c r="K262" s="7"/>
    </row>
    <row r="263" spans="11:11" x14ac:dyDescent="0.2">
      <c r="K263" s="7"/>
    </row>
    <row r="264" spans="11:11" x14ac:dyDescent="0.2">
      <c r="K264" s="7"/>
    </row>
    <row r="265" spans="11:11" x14ac:dyDescent="0.2">
      <c r="K265" s="7"/>
    </row>
    <row r="266" spans="11:11" x14ac:dyDescent="0.2">
      <c r="K266" s="7"/>
    </row>
    <row r="267" spans="11:11" x14ac:dyDescent="0.2">
      <c r="K267" s="7"/>
    </row>
    <row r="268" spans="11:11" x14ac:dyDescent="0.2">
      <c r="K268" s="7"/>
    </row>
    <row r="269" spans="11:11" x14ac:dyDescent="0.2">
      <c r="K269" s="7"/>
    </row>
    <row r="270" spans="11:11" x14ac:dyDescent="0.2">
      <c r="K270" s="7"/>
    </row>
    <row r="271" spans="11:11" x14ac:dyDescent="0.2">
      <c r="K271" s="7"/>
    </row>
    <row r="272" spans="11:11" x14ac:dyDescent="0.2">
      <c r="K272" s="7"/>
    </row>
    <row r="273" spans="11:11" x14ac:dyDescent="0.2">
      <c r="K273" s="7"/>
    </row>
    <row r="274" spans="11:11" x14ac:dyDescent="0.2">
      <c r="K274" s="7"/>
    </row>
    <row r="275" spans="11:11" x14ac:dyDescent="0.2">
      <c r="K275" s="7"/>
    </row>
    <row r="276" spans="11:11" x14ac:dyDescent="0.2">
      <c r="K276" s="7"/>
    </row>
    <row r="277" spans="11:11" x14ac:dyDescent="0.2">
      <c r="K277" s="7"/>
    </row>
    <row r="278" spans="11:11" x14ac:dyDescent="0.2">
      <c r="K278" s="7"/>
    </row>
    <row r="279" spans="11:11" x14ac:dyDescent="0.2">
      <c r="K279" s="7"/>
    </row>
    <row r="280" spans="11:11" x14ac:dyDescent="0.2">
      <c r="K280" s="7"/>
    </row>
    <row r="281" spans="11:11" x14ac:dyDescent="0.2">
      <c r="K281" s="7"/>
    </row>
    <row r="282" spans="11:11" x14ac:dyDescent="0.2">
      <c r="K282" s="7"/>
    </row>
    <row r="283" spans="11:11" x14ac:dyDescent="0.2">
      <c r="K283" s="7"/>
    </row>
    <row r="284" spans="11:11" x14ac:dyDescent="0.2">
      <c r="K284" s="7"/>
    </row>
    <row r="285" spans="11:11" x14ac:dyDescent="0.2">
      <c r="K285" s="7"/>
    </row>
    <row r="286" spans="11:11" x14ac:dyDescent="0.2">
      <c r="K286" s="7"/>
    </row>
    <row r="287" spans="11:11" x14ac:dyDescent="0.2">
      <c r="K287" s="7"/>
    </row>
    <row r="288" spans="11:11" x14ac:dyDescent="0.2">
      <c r="K288" s="7"/>
    </row>
    <row r="289" spans="11:11" x14ac:dyDescent="0.2">
      <c r="K289" s="7"/>
    </row>
    <row r="290" spans="11:11" x14ac:dyDescent="0.2">
      <c r="K290" s="7"/>
    </row>
    <row r="291" spans="11:11" x14ac:dyDescent="0.2">
      <c r="K291" s="7"/>
    </row>
    <row r="292" spans="11:11" x14ac:dyDescent="0.2">
      <c r="K292" s="7"/>
    </row>
    <row r="293" spans="11:11" x14ac:dyDescent="0.2">
      <c r="K293" s="7"/>
    </row>
    <row r="294" spans="11:11" x14ac:dyDescent="0.2">
      <c r="K294" s="7"/>
    </row>
    <row r="295" spans="11:11" x14ac:dyDescent="0.2">
      <c r="K295" s="7"/>
    </row>
    <row r="296" spans="11:11" x14ac:dyDescent="0.2">
      <c r="K296" s="7"/>
    </row>
    <row r="297" spans="11:11" x14ac:dyDescent="0.2">
      <c r="K297" s="7"/>
    </row>
    <row r="298" spans="11:11" x14ac:dyDescent="0.2">
      <c r="K298" s="7"/>
    </row>
    <row r="299" spans="11:11" x14ac:dyDescent="0.2">
      <c r="K299" s="7"/>
    </row>
    <row r="300" spans="11:11" x14ac:dyDescent="0.2">
      <c r="K300" s="7"/>
    </row>
    <row r="301" spans="11:11" x14ac:dyDescent="0.2">
      <c r="K301" s="7"/>
    </row>
    <row r="302" spans="11:11" x14ac:dyDescent="0.2">
      <c r="K302" s="7"/>
    </row>
    <row r="303" spans="11:11" x14ac:dyDescent="0.2">
      <c r="K303" s="7"/>
    </row>
    <row r="304" spans="11:11" x14ac:dyDescent="0.2">
      <c r="K304" s="7"/>
    </row>
    <row r="305" spans="11:11" x14ac:dyDescent="0.2">
      <c r="K305" s="7"/>
    </row>
    <row r="306" spans="11:11" x14ac:dyDescent="0.2">
      <c r="K306" s="7"/>
    </row>
    <row r="307" spans="11:11" x14ac:dyDescent="0.2">
      <c r="K307" s="7"/>
    </row>
    <row r="308" spans="11:11" x14ac:dyDescent="0.2">
      <c r="K308" s="7"/>
    </row>
    <row r="309" spans="11:11" x14ac:dyDescent="0.2">
      <c r="K309" s="7"/>
    </row>
    <row r="310" spans="11:11" x14ac:dyDescent="0.2">
      <c r="K310" s="7"/>
    </row>
    <row r="311" spans="11:11" x14ac:dyDescent="0.2">
      <c r="K311" s="7"/>
    </row>
    <row r="312" spans="11:11" x14ac:dyDescent="0.2">
      <c r="K312" s="7"/>
    </row>
    <row r="313" spans="11:11" x14ac:dyDescent="0.2">
      <c r="K313" s="7"/>
    </row>
    <row r="314" spans="11:11" x14ac:dyDescent="0.2">
      <c r="K314" s="7"/>
    </row>
    <row r="315" spans="11:11" x14ac:dyDescent="0.2">
      <c r="K315" s="7"/>
    </row>
    <row r="316" spans="11:11" x14ac:dyDescent="0.2">
      <c r="K316" s="7"/>
    </row>
    <row r="317" spans="11:11" x14ac:dyDescent="0.2">
      <c r="K317" s="7"/>
    </row>
    <row r="318" spans="11:11" x14ac:dyDescent="0.2">
      <c r="K318" s="7"/>
    </row>
    <row r="319" spans="11:11" x14ac:dyDescent="0.2">
      <c r="K319" s="7"/>
    </row>
    <row r="320" spans="11:11" x14ac:dyDescent="0.2">
      <c r="K320" s="7"/>
    </row>
    <row r="321" spans="11:11" x14ac:dyDescent="0.2">
      <c r="K321" s="7"/>
    </row>
    <row r="322" spans="11:11" x14ac:dyDescent="0.2">
      <c r="K322" s="7"/>
    </row>
    <row r="323" spans="11:11" x14ac:dyDescent="0.2">
      <c r="K323" s="7"/>
    </row>
    <row r="324" spans="11:11" x14ac:dyDescent="0.2">
      <c r="K324" s="7"/>
    </row>
    <row r="325" spans="11:11" x14ac:dyDescent="0.2">
      <c r="K325" s="7"/>
    </row>
    <row r="326" spans="11:11" x14ac:dyDescent="0.2">
      <c r="K326" s="7"/>
    </row>
    <row r="327" spans="11:11" x14ac:dyDescent="0.2">
      <c r="K327" s="7"/>
    </row>
    <row r="328" spans="11:11" x14ac:dyDescent="0.2">
      <c r="K328" s="7"/>
    </row>
    <row r="329" spans="11:11" x14ac:dyDescent="0.2">
      <c r="K329" s="7"/>
    </row>
    <row r="330" spans="11:11" x14ac:dyDescent="0.2">
      <c r="K330" s="7"/>
    </row>
    <row r="331" spans="11:11" x14ac:dyDescent="0.2">
      <c r="K331" s="7"/>
    </row>
    <row r="332" spans="11:11" x14ac:dyDescent="0.2">
      <c r="K332" s="7"/>
    </row>
    <row r="333" spans="11:11" x14ac:dyDescent="0.2">
      <c r="K333" s="7"/>
    </row>
    <row r="334" spans="11:11" x14ac:dyDescent="0.2">
      <c r="K334" s="7"/>
    </row>
    <row r="335" spans="11:11" x14ac:dyDescent="0.2">
      <c r="K335" s="7"/>
    </row>
    <row r="336" spans="11:11" x14ac:dyDescent="0.2">
      <c r="K336" s="7"/>
    </row>
    <row r="337" spans="11:11" x14ac:dyDescent="0.2">
      <c r="K337" s="7"/>
    </row>
    <row r="338" spans="11:11" x14ac:dyDescent="0.2">
      <c r="K338" s="7"/>
    </row>
    <row r="339" spans="11:11" x14ac:dyDescent="0.2">
      <c r="K339" s="7"/>
    </row>
    <row r="340" spans="11:11" x14ac:dyDescent="0.2">
      <c r="K340" s="7"/>
    </row>
    <row r="341" spans="11:11" x14ac:dyDescent="0.2">
      <c r="K341" s="7"/>
    </row>
  </sheetData>
  <sheetProtection selectLockedCells="1"/>
  <mergeCells count="2">
    <mergeCell ref="H2:J2"/>
    <mergeCell ref="H1:M1"/>
  </mergeCells>
  <phoneticPr fontId="2"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Q35"/>
  <sheetViews>
    <sheetView topLeftCell="A13" workbookViewId="0">
      <selection activeCell="C18" sqref="C18"/>
    </sheetView>
  </sheetViews>
  <sheetFormatPr baseColWidth="10" defaultRowHeight="14.25" x14ac:dyDescent="0.2"/>
  <cols>
    <col min="1" max="1" width="18.125" customWidth="1"/>
    <col min="2" max="2" width="13" customWidth="1"/>
    <col min="3" max="3" width="15.375" customWidth="1"/>
    <col min="4" max="4" width="14.625" customWidth="1"/>
    <col min="5" max="5" width="17.375" customWidth="1"/>
    <col min="6" max="6" width="17.875" customWidth="1"/>
    <col min="7" max="7" width="14" customWidth="1"/>
    <col min="8" max="9" width="14" hidden="1" customWidth="1"/>
    <col min="10" max="10" width="20.125" hidden="1" customWidth="1"/>
    <col min="11" max="15" width="10.875" hidden="1" customWidth="1"/>
    <col min="16" max="16" width="11" hidden="1" customWidth="1"/>
    <col min="17" max="17" width="16.75" hidden="1" customWidth="1"/>
  </cols>
  <sheetData>
    <row r="1" spans="1:17" ht="15.75" thickBot="1" x14ac:dyDescent="0.3">
      <c r="A1" s="490">
        <v>2024</v>
      </c>
      <c r="B1" s="491"/>
      <c r="C1" s="491"/>
      <c r="D1" s="491"/>
      <c r="E1" s="491"/>
      <c r="F1" s="492"/>
      <c r="G1" s="38"/>
      <c r="H1" s="38"/>
      <c r="I1" s="38"/>
      <c r="J1" s="38"/>
      <c r="Q1" s="13" t="s">
        <v>178</v>
      </c>
    </row>
    <row r="2" spans="1:17" ht="15" x14ac:dyDescent="0.25">
      <c r="A2" s="493" t="s">
        <v>97</v>
      </c>
      <c r="B2" s="494"/>
      <c r="C2" s="449" t="s">
        <v>81</v>
      </c>
      <c r="D2" s="450" t="s">
        <v>82</v>
      </c>
      <c r="E2" s="448" t="s">
        <v>83</v>
      </c>
      <c r="F2" s="485"/>
      <c r="G2" s="486"/>
      <c r="H2" s="34"/>
      <c r="I2" s="34"/>
      <c r="J2" s="34" t="s">
        <v>95</v>
      </c>
      <c r="K2" s="13" t="s">
        <v>79</v>
      </c>
      <c r="M2" s="13" t="s">
        <v>79</v>
      </c>
      <c r="N2" s="13" t="s">
        <v>79</v>
      </c>
      <c r="O2" s="13" t="s">
        <v>79</v>
      </c>
      <c r="P2" s="13" t="s">
        <v>79</v>
      </c>
      <c r="Q2" s="13" t="s">
        <v>79</v>
      </c>
    </row>
    <row r="3" spans="1:17" ht="15.75" thickBot="1" x14ac:dyDescent="0.3">
      <c r="A3" s="471" t="s">
        <v>53</v>
      </c>
      <c r="B3" s="472"/>
      <c r="C3" s="426">
        <v>5.2999999999999999E-2</v>
      </c>
      <c r="D3" s="432">
        <v>2300</v>
      </c>
      <c r="E3" s="433">
        <v>16800</v>
      </c>
      <c r="F3" s="485"/>
      <c r="G3" s="487"/>
      <c r="H3" s="24">
        <f>IF(Datensätze!B34&lt;Datensätze!C20,0,IF('Berechnung Nettolohn'!H12&lt;=Datensätze!D3,0,Datensätze!C3))</f>
        <v>0</v>
      </c>
      <c r="I3">
        <f>IF(H3=0,0,'Berechnung Nettolohn'!H12)</f>
        <v>0</v>
      </c>
      <c r="K3" s="13" t="s">
        <v>40</v>
      </c>
      <c r="M3" t="s">
        <v>70</v>
      </c>
      <c r="N3" s="13" t="s">
        <v>94</v>
      </c>
      <c r="O3">
        <v>1</v>
      </c>
      <c r="P3" s="13" t="s">
        <v>146</v>
      </c>
      <c r="Q3" s="13" t="s">
        <v>183</v>
      </c>
    </row>
    <row r="4" spans="1:17" ht="15" x14ac:dyDescent="0.25">
      <c r="A4" s="471" t="s">
        <v>88</v>
      </c>
      <c r="B4" s="472"/>
      <c r="C4" s="427">
        <v>64</v>
      </c>
      <c r="D4" s="488"/>
      <c r="E4" s="489"/>
      <c r="F4" s="485"/>
      <c r="G4" s="487"/>
      <c r="H4">
        <f>IF(AND('Berechnung Nettolohn'!D16=Datensätze!N3,Datensätze!B34&gt;=Datensätze!C5),1,0)</f>
        <v>0</v>
      </c>
      <c r="I4">
        <f>IF(AND(Datensätze!H4=1,'Berechnung Nettolohn'!H12-Datensätze!E3&gt;=0),'Berechnung Nettolohn'!H12-Datensätze!E3,0)</f>
        <v>0</v>
      </c>
      <c r="J4">
        <f>IF(AND(H3=0,I4=0),0,IF(H3=0,I4,H3))</f>
        <v>0</v>
      </c>
      <c r="K4" s="13" t="s">
        <v>39</v>
      </c>
      <c r="M4" t="s">
        <v>71</v>
      </c>
      <c r="N4" s="13" t="s">
        <v>93</v>
      </c>
      <c r="O4">
        <v>2</v>
      </c>
      <c r="P4" s="13" t="s">
        <v>147</v>
      </c>
      <c r="Q4" s="13" t="s">
        <v>118</v>
      </c>
    </row>
    <row r="5" spans="1:17" ht="15" x14ac:dyDescent="0.25">
      <c r="A5" s="471" t="s">
        <v>89</v>
      </c>
      <c r="B5" s="472"/>
      <c r="C5" s="427">
        <v>65</v>
      </c>
      <c r="D5" s="437"/>
      <c r="E5" s="439" t="s">
        <v>199</v>
      </c>
      <c r="F5" s="435" t="s">
        <v>200</v>
      </c>
      <c r="G5" s="440" t="s">
        <v>196</v>
      </c>
      <c r="H5">
        <f>IF(AND('Berechnung Nettolohn'!D16=Datensätze!N4,Datensätze!B34&gt;=Datensätze!C4),1,0)</f>
        <v>0</v>
      </c>
      <c r="I5">
        <f>IF(AND(Datensätze!H5=1,'Berechnung Nettolohn'!H12-Datensätze!E3&gt;=0),'Berechnung Nettolohn'!H12-Datensätze!E3,0)</f>
        <v>0</v>
      </c>
      <c r="J5">
        <f>IF(AND(H3=0,I5=0),0,IF(H3=0,I5,H3))</f>
        <v>0</v>
      </c>
      <c r="K5" s="13" t="s">
        <v>41</v>
      </c>
      <c r="M5" t="s">
        <v>72</v>
      </c>
      <c r="O5">
        <v>3</v>
      </c>
      <c r="Q5" s="13" t="s">
        <v>176</v>
      </c>
    </row>
    <row r="6" spans="1:17" ht="15" x14ac:dyDescent="0.25">
      <c r="A6" s="471" t="s">
        <v>54</v>
      </c>
      <c r="B6" s="472"/>
      <c r="C6" s="426">
        <v>1.0999999999999999E-2</v>
      </c>
      <c r="D6" s="425" t="s">
        <v>86</v>
      </c>
      <c r="E6" s="434">
        <v>148200</v>
      </c>
      <c r="F6" s="436">
        <f>E6/12</f>
        <v>12350</v>
      </c>
      <c r="G6" s="470"/>
      <c r="H6" s="36"/>
      <c r="I6" s="36"/>
      <c r="M6" t="s">
        <v>73</v>
      </c>
      <c r="O6">
        <v>4</v>
      </c>
      <c r="Q6" s="13" t="s">
        <v>10</v>
      </c>
    </row>
    <row r="7" spans="1:17" ht="15" x14ac:dyDescent="0.25">
      <c r="A7" s="471" t="s">
        <v>55</v>
      </c>
      <c r="B7" s="472"/>
      <c r="C7" s="426">
        <v>0</v>
      </c>
      <c r="D7" s="425" t="s">
        <v>87</v>
      </c>
      <c r="E7" s="434">
        <v>148200</v>
      </c>
      <c r="F7" s="137"/>
      <c r="G7" s="470"/>
      <c r="H7" s="36"/>
      <c r="I7" s="36"/>
      <c r="M7" s="13" t="s">
        <v>91</v>
      </c>
      <c r="O7">
        <v>5</v>
      </c>
    </row>
    <row r="8" spans="1:17" ht="15" x14ac:dyDescent="0.25">
      <c r="A8" s="471" t="s">
        <v>49</v>
      </c>
      <c r="B8" s="472"/>
      <c r="C8" s="428">
        <v>8.9599999999999992E-3</v>
      </c>
      <c r="D8" s="425" t="s">
        <v>86</v>
      </c>
      <c r="E8" s="434">
        <v>148200</v>
      </c>
      <c r="F8" s="436">
        <f>E8/12</f>
        <v>12350</v>
      </c>
      <c r="G8" s="438">
        <v>0.1905</v>
      </c>
      <c r="H8" s="36"/>
      <c r="I8" s="36"/>
      <c r="O8">
        <v>6</v>
      </c>
    </row>
    <row r="9" spans="1:17" ht="15" x14ac:dyDescent="0.25">
      <c r="A9" s="471" t="s">
        <v>74</v>
      </c>
      <c r="B9" s="472"/>
      <c r="C9" s="429">
        <v>17</v>
      </c>
      <c r="D9" s="479"/>
      <c r="E9" s="480"/>
      <c r="F9" s="480"/>
      <c r="G9" s="481"/>
      <c r="O9">
        <v>7</v>
      </c>
    </row>
    <row r="10" spans="1:17" ht="15" x14ac:dyDescent="0.25">
      <c r="A10" s="471" t="s">
        <v>75</v>
      </c>
      <c r="B10" s="472"/>
      <c r="C10" s="429">
        <v>16</v>
      </c>
      <c r="D10" s="479"/>
      <c r="E10" s="480"/>
      <c r="F10" s="480"/>
      <c r="G10" s="481"/>
      <c r="O10">
        <v>8</v>
      </c>
    </row>
    <row r="11" spans="1:17" ht="15" x14ac:dyDescent="0.25">
      <c r="A11" s="471" t="s">
        <v>76</v>
      </c>
      <c r="B11" s="472"/>
      <c r="C11" s="430" t="s">
        <v>67</v>
      </c>
      <c r="D11" s="479"/>
      <c r="E11" s="480"/>
      <c r="F11" s="480"/>
      <c r="G11" s="481"/>
      <c r="O11">
        <v>9</v>
      </c>
    </row>
    <row r="12" spans="1:17" ht="15.75" thickBot="1" x14ac:dyDescent="0.3">
      <c r="A12" s="473" t="s">
        <v>90</v>
      </c>
      <c r="B12" s="474"/>
      <c r="C12" s="431" t="s">
        <v>67</v>
      </c>
      <c r="D12" s="482"/>
      <c r="E12" s="483"/>
      <c r="F12" s="483"/>
      <c r="G12" s="484"/>
      <c r="O12">
        <v>10</v>
      </c>
    </row>
    <row r="13" spans="1:17" ht="15" x14ac:dyDescent="0.25">
      <c r="A13" s="13"/>
      <c r="C13" s="64"/>
      <c r="O13">
        <v>11</v>
      </c>
    </row>
    <row r="14" spans="1:17" ht="15.75" thickBot="1" x14ac:dyDescent="0.3">
      <c r="C14" s="65"/>
      <c r="O14">
        <v>12</v>
      </c>
    </row>
    <row r="15" spans="1:17" ht="15" x14ac:dyDescent="0.25">
      <c r="A15" s="477" t="s">
        <v>59</v>
      </c>
      <c r="B15" s="478"/>
      <c r="C15" s="72" t="s">
        <v>81</v>
      </c>
      <c r="D15" s="74"/>
      <c r="E15" s="75"/>
      <c r="F15" s="78" t="s">
        <v>134</v>
      </c>
      <c r="O15">
        <v>13</v>
      </c>
    </row>
    <row r="16" spans="1:17" ht="15.75" thickBot="1" x14ac:dyDescent="0.3">
      <c r="A16" s="471" t="s">
        <v>60</v>
      </c>
      <c r="B16" s="472"/>
      <c r="C16" s="67">
        <v>8.0000000000000002E-3</v>
      </c>
      <c r="D16" s="469" t="s">
        <v>133</v>
      </c>
      <c r="E16" s="470"/>
      <c r="F16" s="79">
        <v>0</v>
      </c>
      <c r="O16">
        <v>14</v>
      </c>
    </row>
    <row r="17" spans="1:15" ht="15.75" thickBot="1" x14ac:dyDescent="0.3">
      <c r="A17" s="471" t="s">
        <v>61</v>
      </c>
      <c r="B17" s="472"/>
      <c r="C17" s="67">
        <v>2.5000000000000001E-3</v>
      </c>
      <c r="D17" s="76">
        <v>60</v>
      </c>
      <c r="E17" s="77">
        <v>180</v>
      </c>
      <c r="F17" s="26"/>
      <c r="G17" s="26"/>
      <c r="H17" s="26"/>
      <c r="I17" s="26"/>
      <c r="O17">
        <v>15</v>
      </c>
    </row>
    <row r="18" spans="1:15" ht="15" x14ac:dyDescent="0.25">
      <c r="A18" s="471" t="s">
        <v>62</v>
      </c>
      <c r="B18" s="472"/>
      <c r="C18" s="69">
        <v>29400</v>
      </c>
      <c r="O18">
        <v>16</v>
      </c>
    </row>
    <row r="19" spans="1:15" ht="15" x14ac:dyDescent="0.25">
      <c r="A19" s="471" t="s">
        <v>80</v>
      </c>
      <c r="B19" s="472"/>
      <c r="C19" s="69">
        <v>22050</v>
      </c>
      <c r="O19">
        <v>17</v>
      </c>
    </row>
    <row r="20" spans="1:15" ht="15" x14ac:dyDescent="0.25">
      <c r="A20" s="471" t="s">
        <v>84</v>
      </c>
      <c r="B20" s="472"/>
      <c r="C20" s="68">
        <v>18</v>
      </c>
      <c r="O20">
        <v>18</v>
      </c>
    </row>
    <row r="21" spans="1:15" ht="15" x14ac:dyDescent="0.25">
      <c r="A21" s="471" t="s">
        <v>85</v>
      </c>
      <c r="B21" s="472"/>
      <c r="C21" s="68">
        <v>25</v>
      </c>
      <c r="O21">
        <v>19</v>
      </c>
    </row>
    <row r="22" spans="1:15" ht="15" x14ac:dyDescent="0.25">
      <c r="A22" s="471" t="s">
        <v>88</v>
      </c>
      <c r="B22" s="472"/>
      <c r="C22" s="68">
        <v>65</v>
      </c>
      <c r="O22">
        <v>20</v>
      </c>
    </row>
    <row r="23" spans="1:15" ht="15.75" thickBot="1" x14ac:dyDescent="0.3">
      <c r="A23" s="473" t="s">
        <v>89</v>
      </c>
      <c r="B23" s="474"/>
      <c r="C23" s="73">
        <v>65</v>
      </c>
      <c r="O23">
        <v>21</v>
      </c>
    </row>
    <row r="24" spans="1:15" ht="15.75" thickBot="1" x14ac:dyDescent="0.3">
      <c r="A24" s="13"/>
      <c r="B24" s="35"/>
      <c r="C24" s="65"/>
      <c r="O24">
        <v>22</v>
      </c>
    </row>
    <row r="25" spans="1:15" ht="15" x14ac:dyDescent="0.25">
      <c r="A25" s="467" t="s">
        <v>98</v>
      </c>
      <c r="B25" s="468"/>
      <c r="C25" s="72" t="s">
        <v>81</v>
      </c>
      <c r="D25" s="442" t="s">
        <v>201</v>
      </c>
      <c r="O25">
        <v>23</v>
      </c>
    </row>
    <row r="26" spans="1:15" ht="15" x14ac:dyDescent="0.25">
      <c r="A26" s="80" t="s">
        <v>86</v>
      </c>
      <c r="B26" s="66">
        <v>6198.3</v>
      </c>
      <c r="C26" s="69">
        <v>456.25</v>
      </c>
      <c r="D26" s="443" t="s">
        <v>202</v>
      </c>
      <c r="O26">
        <v>24</v>
      </c>
    </row>
    <row r="27" spans="1:15" ht="15" x14ac:dyDescent="0.25">
      <c r="A27" s="71">
        <v>6198.35</v>
      </c>
      <c r="B27" s="66">
        <v>7687.2</v>
      </c>
      <c r="C27" s="69">
        <v>421.1</v>
      </c>
      <c r="D27" s="443" t="s">
        <v>203</v>
      </c>
      <c r="O27">
        <v>25</v>
      </c>
    </row>
    <row r="28" spans="1:15" ht="15" x14ac:dyDescent="0.25">
      <c r="A28" s="71">
        <v>7687.25</v>
      </c>
      <c r="B28" s="66">
        <v>9175.9500000000007</v>
      </c>
      <c r="C28" s="69">
        <v>386.25</v>
      </c>
      <c r="D28" s="443" t="s">
        <v>204</v>
      </c>
      <c r="O28">
        <v>26</v>
      </c>
    </row>
    <row r="29" spans="1:15" ht="15.75" thickBot="1" x14ac:dyDescent="0.3">
      <c r="A29" s="81" t="s">
        <v>87</v>
      </c>
      <c r="B29" s="66">
        <v>9176</v>
      </c>
      <c r="C29" s="69">
        <v>350.9</v>
      </c>
      <c r="D29" s="443" t="s">
        <v>205</v>
      </c>
      <c r="I29" s="13" t="s">
        <v>111</v>
      </c>
      <c r="J29" s="13" t="s">
        <v>112</v>
      </c>
      <c r="K29" t="s">
        <v>110</v>
      </c>
      <c r="O29">
        <v>27</v>
      </c>
    </row>
    <row r="30" spans="1:15" ht="15.75" thickBot="1" x14ac:dyDescent="0.3">
      <c r="A30" s="475" t="s">
        <v>99</v>
      </c>
      <c r="B30" s="476"/>
      <c r="C30" s="69">
        <v>200</v>
      </c>
      <c r="D30" s="83">
        <v>7350</v>
      </c>
      <c r="E30" s="82">
        <f>D30+E3</f>
        <v>24150</v>
      </c>
      <c r="H30" t="s">
        <v>108</v>
      </c>
      <c r="I30">
        <f ca="1">IF(AND('Berechnung Nettolohn'!D16=Datensätze!N3,Datensätze!C34&gt;=Datensätze!C4),IF('Berechnung Nettolohn'!H12&gt;Datensätze!E30,1),0)</f>
        <v>0</v>
      </c>
      <c r="J30">
        <f ca="1">IF(AND('Berechnung Nettolohn'!D16=Datensätze!N3,Datensätze!C34&lt;Datensätze!C4),IF('Berechnung Nettolohn'!H12&gt;Datensätze!D30,1),0)</f>
        <v>0</v>
      </c>
      <c r="K30" t="str">
        <f ca="1">IF(OR(I30=1,J30=1),"Ja","Nein")</f>
        <v>Nein</v>
      </c>
      <c r="O30">
        <v>28</v>
      </c>
    </row>
    <row r="31" spans="1:15" ht="15.75" thickBot="1" x14ac:dyDescent="0.3">
      <c r="A31" s="465" t="s">
        <v>100</v>
      </c>
      <c r="B31" s="466"/>
      <c r="C31" s="70">
        <v>250</v>
      </c>
      <c r="D31" s="444"/>
      <c r="H31" t="s">
        <v>109</v>
      </c>
      <c r="I31">
        <f ca="1">IF(AND('Berechnung Nettolohn'!D16=Datensätze!N4,Datensätze!C34&gt;=Datensätze!C5),IF('Berechnung Nettolohn'!H12&gt;Datensätze!E30,1,0),0)</f>
        <v>0</v>
      </c>
      <c r="J31">
        <f ca="1">IF(AND('Berechnung Nettolohn'!D16=Datensätze!N4,Datensätze!C34&lt;Datensätze!C5),IF('Berechnung Nettolohn'!H12&gt;Datensätze!D30,1,0),0)</f>
        <v>0</v>
      </c>
      <c r="K31" t="str">
        <f ca="1">IF(OR(I31=1,J31=1),"Ja","Nein")</f>
        <v>Nein</v>
      </c>
    </row>
    <row r="32" spans="1:15" hidden="1" x14ac:dyDescent="0.2">
      <c r="A32" s="37"/>
      <c r="B32" s="25"/>
      <c r="C32" s="25"/>
    </row>
    <row r="33" spans="1:5" hidden="1" x14ac:dyDescent="0.2">
      <c r="A33" s="13"/>
      <c r="B33" s="25" t="s">
        <v>65</v>
      </c>
      <c r="C33" t="s">
        <v>66</v>
      </c>
    </row>
    <row r="34" spans="1:5" hidden="1" x14ac:dyDescent="0.2">
      <c r="A34" s="13" t="s">
        <v>63</v>
      </c>
      <c r="B34">
        <f>B35-C35</f>
        <v>124</v>
      </c>
      <c r="C34">
        <f ca="1">DATEDIF('Berechnung Nettolohn'!D14,TODAY(),"y")</f>
        <v>124</v>
      </c>
    </row>
    <row r="35" spans="1:5" hidden="1" x14ac:dyDescent="0.2">
      <c r="A35" s="13" t="s">
        <v>64</v>
      </c>
      <c r="B35">
        <f>A1</f>
        <v>2024</v>
      </c>
      <c r="C35">
        <f>YEAR(('Berechnung Nettolohn'!D14))</f>
        <v>1900</v>
      </c>
      <c r="E35">
        <f>B35-70</f>
        <v>1954</v>
      </c>
    </row>
  </sheetData>
  <mergeCells count="29">
    <mergeCell ref="D9:G12"/>
    <mergeCell ref="F2:G4"/>
    <mergeCell ref="D4:E4"/>
    <mergeCell ref="G6:G7"/>
    <mergeCell ref="A1:F1"/>
    <mergeCell ref="A2:B2"/>
    <mergeCell ref="A3:B3"/>
    <mergeCell ref="A4:B4"/>
    <mergeCell ref="A5:B5"/>
    <mergeCell ref="A11:B11"/>
    <mergeCell ref="A12:B12"/>
    <mergeCell ref="A6:B6"/>
    <mergeCell ref="A7:B7"/>
    <mergeCell ref="A8:B8"/>
    <mergeCell ref="A9:B9"/>
    <mergeCell ref="A10:B10"/>
    <mergeCell ref="A15:B15"/>
    <mergeCell ref="A16:B16"/>
    <mergeCell ref="A17:B17"/>
    <mergeCell ref="A18:B18"/>
    <mergeCell ref="A19:B19"/>
    <mergeCell ref="A31:B31"/>
    <mergeCell ref="A25:B25"/>
    <mergeCell ref="D16:E16"/>
    <mergeCell ref="A20:B20"/>
    <mergeCell ref="A21:B21"/>
    <mergeCell ref="A22:B22"/>
    <mergeCell ref="A23:B23"/>
    <mergeCell ref="A30:B30"/>
  </mergeCells>
  <pageMargins left="0.7" right="0.7" top="0.78740157499999996" bottom="0.78740157499999996"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X72"/>
  <sheetViews>
    <sheetView workbookViewId="0">
      <selection activeCell="M2" sqref="M2"/>
    </sheetView>
  </sheetViews>
  <sheetFormatPr baseColWidth="10" defaultRowHeight="14.25" x14ac:dyDescent="0.2"/>
  <cols>
    <col min="41" max="41" width="14.25" hidden="1" customWidth="1"/>
    <col min="42" max="44" width="15.375" hidden="1" customWidth="1"/>
    <col min="45" max="45" width="11" hidden="1" customWidth="1"/>
    <col min="46" max="46" width="14.125" customWidth="1"/>
  </cols>
  <sheetData>
    <row r="1" spans="1:50" ht="16.5" thickBot="1" x14ac:dyDescent="0.3">
      <c r="A1" s="44"/>
      <c r="B1" s="41" t="s">
        <v>210</v>
      </c>
      <c r="C1" s="42"/>
      <c r="D1" s="42"/>
      <c r="E1" s="43"/>
      <c r="F1" s="43"/>
      <c r="G1" s="43"/>
      <c r="H1" s="43"/>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50" ht="15.75" thickTop="1" thickBot="1" x14ac:dyDescent="0.25">
      <c r="A2" s="44"/>
      <c r="B2" s="45" t="s">
        <v>115</v>
      </c>
      <c r="C2" s="46" t="str">
        <f>CONCATENATE("01.01.",Datensätze!A1)</f>
        <v>01.01.2024</v>
      </c>
      <c r="D2" s="42"/>
      <c r="E2" s="43" t="s">
        <v>124</v>
      </c>
      <c r="F2" s="293">
        <v>2.4500000000000001E-2</v>
      </c>
      <c r="G2" s="43"/>
      <c r="H2" s="43" t="s">
        <v>125</v>
      </c>
      <c r="I2" s="44"/>
      <c r="J2" s="293">
        <v>0</v>
      </c>
      <c r="K2" s="451" t="s">
        <v>212</v>
      </c>
      <c r="L2" s="452" t="s">
        <v>213</v>
      </c>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P2" s="298"/>
    </row>
    <row r="3" spans="1:50" x14ac:dyDescent="0.2">
      <c r="A3" s="44"/>
      <c r="B3" s="47"/>
      <c r="C3" s="46"/>
      <c r="D3" s="42"/>
      <c r="E3" s="43"/>
      <c r="F3" s="43"/>
      <c r="G3" s="43"/>
      <c r="H3" s="43"/>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row>
    <row r="4" spans="1:50" x14ac:dyDescent="0.2">
      <c r="A4" s="44"/>
      <c r="B4" s="48"/>
      <c r="C4" s="42" t="s">
        <v>116</v>
      </c>
      <c r="D4" s="44"/>
      <c r="E4" s="43"/>
      <c r="F4" s="43"/>
      <c r="G4" s="43"/>
      <c r="H4" s="43"/>
      <c r="I4" s="44"/>
      <c r="J4" s="44"/>
      <c r="K4" s="44"/>
      <c r="L4" s="44"/>
      <c r="M4" s="44"/>
      <c r="N4" s="44"/>
      <c r="O4" s="44"/>
      <c r="P4" s="44"/>
      <c r="Q4" s="44"/>
      <c r="R4" s="44"/>
      <c r="S4" s="44"/>
      <c r="T4" s="44"/>
      <c r="U4" s="44"/>
      <c r="V4" s="44"/>
      <c r="W4" s="44"/>
      <c r="X4" s="44"/>
      <c r="Y4" s="44"/>
      <c r="Z4" s="44"/>
      <c r="AA4" s="44"/>
      <c r="AB4" s="44"/>
      <c r="AC4" s="44"/>
      <c r="AD4" s="44"/>
      <c r="AE4" s="44"/>
      <c r="AF4" s="44"/>
      <c r="AG4" s="44"/>
      <c r="AH4" s="44"/>
      <c r="AI4" s="42" t="s">
        <v>117</v>
      </c>
      <c r="AJ4" s="44"/>
      <c r="AK4" s="44"/>
      <c r="AL4" s="44"/>
      <c r="AM4" s="44"/>
      <c r="AO4" s="13" t="s">
        <v>177</v>
      </c>
      <c r="AP4" s="13" t="s">
        <v>178</v>
      </c>
      <c r="AQ4" s="13"/>
      <c r="AR4" s="13"/>
      <c r="AT4" s="495" t="s">
        <v>192</v>
      </c>
      <c r="AU4" s="495"/>
      <c r="AV4" s="495"/>
      <c r="AW4" s="495"/>
      <c r="AX4" s="495"/>
    </row>
    <row r="5" spans="1:50" x14ac:dyDescent="0.2">
      <c r="A5" s="44"/>
      <c r="B5" s="49" t="s">
        <v>113</v>
      </c>
      <c r="C5" s="50" t="s">
        <v>9</v>
      </c>
      <c r="D5" s="50" t="s">
        <v>10</v>
      </c>
      <c r="E5" s="51" t="s">
        <v>118</v>
      </c>
      <c r="F5" s="52">
        <v>1</v>
      </c>
      <c r="G5" s="52">
        <v>2</v>
      </c>
      <c r="H5" s="52">
        <v>3</v>
      </c>
      <c r="I5" s="52">
        <v>4</v>
      </c>
      <c r="J5" s="52">
        <v>5</v>
      </c>
      <c r="K5" s="52">
        <v>6</v>
      </c>
      <c r="L5" s="52">
        <v>7</v>
      </c>
      <c r="M5" s="52">
        <v>8</v>
      </c>
      <c r="N5" s="52">
        <v>9</v>
      </c>
      <c r="O5" s="52">
        <v>10</v>
      </c>
      <c r="P5" s="52">
        <v>11</v>
      </c>
      <c r="Q5" s="52">
        <v>12</v>
      </c>
      <c r="R5" s="52">
        <v>13</v>
      </c>
      <c r="S5" s="52">
        <v>14</v>
      </c>
      <c r="T5" s="52">
        <v>15</v>
      </c>
      <c r="U5" s="52">
        <v>16</v>
      </c>
      <c r="V5" s="52">
        <v>17</v>
      </c>
      <c r="W5" s="52">
        <v>18</v>
      </c>
      <c r="X5" s="52">
        <v>19</v>
      </c>
      <c r="Y5" s="52">
        <v>20</v>
      </c>
      <c r="Z5" s="52">
        <v>21</v>
      </c>
      <c r="AA5" s="52">
        <v>22</v>
      </c>
      <c r="AB5" s="52">
        <v>23</v>
      </c>
      <c r="AC5" s="52">
        <v>24</v>
      </c>
      <c r="AD5" s="52">
        <v>25</v>
      </c>
      <c r="AE5" s="52">
        <v>26</v>
      </c>
      <c r="AF5" s="52">
        <v>27</v>
      </c>
      <c r="AG5" s="44"/>
      <c r="AH5" s="49" t="s">
        <v>113</v>
      </c>
      <c r="AI5" s="53" t="s">
        <v>119</v>
      </c>
      <c r="AJ5" s="53" t="s">
        <v>120</v>
      </c>
      <c r="AK5" s="53" t="s">
        <v>121</v>
      </c>
      <c r="AL5" s="53" t="s">
        <v>122</v>
      </c>
      <c r="AM5" s="53" t="s">
        <v>123</v>
      </c>
      <c r="AT5" t="s">
        <v>191</v>
      </c>
      <c r="AU5" t="s">
        <v>120</v>
      </c>
      <c r="AV5" t="s">
        <v>121</v>
      </c>
      <c r="AW5" t="s">
        <v>122</v>
      </c>
      <c r="AX5" t="s">
        <v>123</v>
      </c>
    </row>
    <row r="6" spans="1:50" x14ac:dyDescent="0.2">
      <c r="A6" s="44"/>
      <c r="B6" s="49">
        <v>1</v>
      </c>
      <c r="C6" s="54">
        <f>ROUND((C43+(C43*($F$2+$J$2)))*20,0)/20</f>
        <v>13970.85</v>
      </c>
      <c r="D6" s="54">
        <f t="shared" ref="D6:AF6" si="0">ROUND((D43+(D43*($F$2+$J$2)))*20,0)/20</f>
        <v>14614.75</v>
      </c>
      <c r="E6" s="54">
        <f t="shared" si="0"/>
        <v>15258.85</v>
      </c>
      <c r="F6" s="54">
        <f t="shared" si="0"/>
        <v>15902.8</v>
      </c>
      <c r="G6" s="54">
        <f t="shared" si="0"/>
        <v>16524.25</v>
      </c>
      <c r="H6" s="54">
        <f t="shared" si="0"/>
        <v>17145.650000000001</v>
      </c>
      <c r="I6" s="54">
        <f t="shared" si="0"/>
        <v>17767.150000000001</v>
      </c>
      <c r="J6" s="54">
        <f t="shared" si="0"/>
        <v>18388.650000000001</v>
      </c>
      <c r="K6" s="54">
        <f t="shared" si="0"/>
        <v>18660.55</v>
      </c>
      <c r="L6" s="54">
        <f t="shared" si="0"/>
        <v>18932.75</v>
      </c>
      <c r="M6" s="54">
        <f t="shared" si="0"/>
        <v>19204.8</v>
      </c>
      <c r="N6" s="54">
        <f t="shared" si="0"/>
        <v>19476.849999999999</v>
      </c>
      <c r="O6" s="54">
        <f t="shared" si="0"/>
        <v>19665.05</v>
      </c>
      <c r="P6" s="54">
        <f t="shared" si="0"/>
        <v>19853.3</v>
      </c>
      <c r="Q6" s="54">
        <f t="shared" si="0"/>
        <v>20041.599999999999</v>
      </c>
      <c r="R6" s="54">
        <f t="shared" si="0"/>
        <v>20229.8</v>
      </c>
      <c r="S6" s="54">
        <f t="shared" si="0"/>
        <v>20417.8</v>
      </c>
      <c r="T6" s="54">
        <f t="shared" si="0"/>
        <v>20606.150000000001</v>
      </c>
      <c r="U6" s="54">
        <f t="shared" si="0"/>
        <v>20794.45</v>
      </c>
      <c r="V6" s="54">
        <f t="shared" si="0"/>
        <v>20982.65</v>
      </c>
      <c r="W6" s="54">
        <f t="shared" si="0"/>
        <v>20982.65</v>
      </c>
      <c r="X6" s="54">
        <f t="shared" si="0"/>
        <v>21083.75</v>
      </c>
      <c r="Y6" s="54">
        <f t="shared" si="0"/>
        <v>21083.75</v>
      </c>
      <c r="Z6" s="54">
        <f t="shared" si="0"/>
        <v>21185</v>
      </c>
      <c r="AA6" s="54">
        <f t="shared" si="0"/>
        <v>21185</v>
      </c>
      <c r="AB6" s="54">
        <f t="shared" si="0"/>
        <v>21286.400000000001</v>
      </c>
      <c r="AC6" s="54">
        <f t="shared" si="0"/>
        <v>21286.400000000001</v>
      </c>
      <c r="AD6" s="54">
        <f t="shared" si="0"/>
        <v>21387.7</v>
      </c>
      <c r="AE6" s="54">
        <f t="shared" si="0"/>
        <v>21387.7</v>
      </c>
      <c r="AF6" s="54">
        <f t="shared" si="0"/>
        <v>21489.05</v>
      </c>
      <c r="AG6" s="44"/>
      <c r="AH6" s="49">
        <v>1</v>
      </c>
      <c r="AI6" s="55">
        <f t="shared" ref="AI6:AI33" si="1">C6</f>
        <v>13970.85</v>
      </c>
      <c r="AJ6" s="56">
        <f t="shared" ref="AJ6:AJ33" si="2">F6</f>
        <v>15902.8</v>
      </c>
      <c r="AK6" s="57">
        <f>(AJ6+(($AF6-$F6)*0.25))</f>
        <v>17299.362499999999</v>
      </c>
      <c r="AL6" s="58">
        <f t="shared" ref="AL6:AM6" si="3">(AK6+(($AF6-$F6)*0.25))</f>
        <v>18695.924999999999</v>
      </c>
      <c r="AM6" s="59">
        <f t="shared" si="3"/>
        <v>20092.487499999999</v>
      </c>
      <c r="AO6" t="str">
        <f>IF('Berechnung Nettolohn'!$D$28=Lohntabelle24!AH6,IF(AND('Berechnung Nettolohn'!$D$4&lt;Lohntabelle24!AJ6,'Berechnung Nettolohn'!$D$4&gt;=Lohntabelle24!AI6),"Unterfunktionslohn",IF(AND('Berechnung Nettolohn'!$D$4&lt;Lohntabelle24!AK6,'Berechnung Nettolohn'!$D$4&gt;=Lohntabelle24!AJ6),"1. Quartil",IF(AND('Berechnung Nettolohn'!$D$4&lt;Lohntabelle24!AL6,'Berechnung Nettolohn'!$D$4&gt;=Lohntabelle24!AK6),"2. Quartil",IF(AND('Berechnung Nettolohn'!$D$4&lt;Lohntabelle24!AM6,'Berechnung Nettolohn'!$D$4&gt;=Lohntabelle24!AL6),"3. Quartil",IF(AND('Berechnung Nettolohn'!$D$4&gt;=Lohntabelle24!AM6,'Berechnung Nettolohn'!$D$4&lt;Lohntabelle24!AF6),"4. Quartil",IF('Berechnung Nettolohn'!$D$4=Lohntabelle24!AF6,"höchster Erfahrungswert","Lohnband prüfen")))))),"")</f>
        <v/>
      </c>
      <c r="AP6" t="e">
        <f>IF(#REF!=Lohntabelle24!AH6,IF(AND(#REF!&lt;Lohntabelle24!AJ6,#REF!&gt;=Lohntabelle24!AI6),"Unterfunktionslohn",IF(AND(#REF!&lt;Lohntabelle24!AK6,#REF!&gt;=Lohntabelle24!AJ6),"1. Quartil",IF(AND(#REF!&lt;Lohntabelle24!AL6,#REF!&gt;=Lohntabelle24!AK6),"2. Quartil",IF(AND(#REF!&lt;Lohntabelle24!AM6,#REF!&gt;=Lohntabelle24!AL6),"3. Quartil",IF(AND(#REF!&gt;=Lohntabelle24!AM6,#REF!&lt;Lohntabelle24!AF6),"4. Quartil",IF(#REF!=Lohntabelle24!AF6,"höchsten Erfahrungswert","Lohnband prüfen")))))),"")</f>
        <v>#REF!</v>
      </c>
      <c r="AT6" s="24">
        <f>((AI6-AI43)/AI43)</f>
        <v>2.449997250077917E-2</v>
      </c>
      <c r="AU6" s="24">
        <f>((AJ6-AJ43)/AJ43)</f>
        <v>2.4499919471734532E-2</v>
      </c>
      <c r="AV6" s="24">
        <f t="shared" ref="AV6:AX21" si="4">((AK6-AK43)/AK43)</f>
        <v>2.450007513770933E-2</v>
      </c>
      <c r="AW6" s="24">
        <f t="shared" si="4"/>
        <v>2.4500207547609353E-2</v>
      </c>
      <c r="AX6" s="24">
        <f t="shared" si="4"/>
        <v>2.4500321550786412E-2</v>
      </c>
    </row>
    <row r="7" spans="1:50" x14ac:dyDescent="0.2">
      <c r="A7" s="44"/>
      <c r="B7" s="49">
        <v>2</v>
      </c>
      <c r="C7" s="54">
        <f t="shared" ref="C7:AF7" si="5">ROUND((C44+(C44*($F$2+$J$2)))*20,0)/20</f>
        <v>13216.45</v>
      </c>
      <c r="D7" s="54">
        <f t="shared" si="5"/>
        <v>13824.35</v>
      </c>
      <c r="E7" s="54">
        <f t="shared" si="5"/>
        <v>14432.4</v>
      </c>
      <c r="F7" s="54">
        <f t="shared" si="5"/>
        <v>15040.4</v>
      </c>
      <c r="G7" s="54">
        <f t="shared" si="5"/>
        <v>15627.05</v>
      </c>
      <c r="H7" s="54">
        <f t="shared" si="5"/>
        <v>16213.9</v>
      </c>
      <c r="I7" s="54">
        <f t="shared" si="5"/>
        <v>16800.55</v>
      </c>
      <c r="J7" s="54">
        <f t="shared" si="5"/>
        <v>17387.3</v>
      </c>
      <c r="K7" s="54">
        <f t="shared" si="5"/>
        <v>17644.099999999999</v>
      </c>
      <c r="L7" s="54">
        <f t="shared" si="5"/>
        <v>17901.099999999999</v>
      </c>
      <c r="M7" s="54">
        <f t="shared" si="5"/>
        <v>18158</v>
      </c>
      <c r="N7" s="54">
        <f t="shared" si="5"/>
        <v>18414.75</v>
      </c>
      <c r="O7" s="54">
        <f t="shared" si="5"/>
        <v>18600.099999999999</v>
      </c>
      <c r="P7" s="54">
        <f t="shared" si="5"/>
        <v>18785.5</v>
      </c>
      <c r="Q7" s="54">
        <f t="shared" si="5"/>
        <v>18970.900000000001</v>
      </c>
      <c r="R7" s="54">
        <f t="shared" si="5"/>
        <v>19156.099999999999</v>
      </c>
      <c r="S7" s="54">
        <f t="shared" si="5"/>
        <v>19341.650000000001</v>
      </c>
      <c r="T7" s="54">
        <f t="shared" si="5"/>
        <v>19526.8</v>
      </c>
      <c r="U7" s="54">
        <f t="shared" si="5"/>
        <v>19712.45</v>
      </c>
      <c r="V7" s="54">
        <f t="shared" si="5"/>
        <v>19897.599999999999</v>
      </c>
      <c r="W7" s="54">
        <f t="shared" si="5"/>
        <v>19897.599999999999</v>
      </c>
      <c r="X7" s="54">
        <f t="shared" si="5"/>
        <v>19993</v>
      </c>
      <c r="Y7" s="54">
        <f t="shared" si="5"/>
        <v>19993</v>
      </c>
      <c r="Z7" s="54">
        <f t="shared" si="5"/>
        <v>20088.5</v>
      </c>
      <c r="AA7" s="54">
        <f t="shared" si="5"/>
        <v>20088.5</v>
      </c>
      <c r="AB7" s="54">
        <f t="shared" si="5"/>
        <v>20183.8</v>
      </c>
      <c r="AC7" s="54">
        <f t="shared" si="5"/>
        <v>20183.8</v>
      </c>
      <c r="AD7" s="54">
        <f t="shared" si="5"/>
        <v>20279.2</v>
      </c>
      <c r="AE7" s="54">
        <f t="shared" si="5"/>
        <v>20279.2</v>
      </c>
      <c r="AF7" s="54">
        <f t="shared" si="5"/>
        <v>20374.599999999999</v>
      </c>
      <c r="AG7" s="44"/>
      <c r="AH7" s="49">
        <v>2</v>
      </c>
      <c r="AI7" s="55">
        <f t="shared" si="1"/>
        <v>13216.45</v>
      </c>
      <c r="AJ7" s="56">
        <f t="shared" si="2"/>
        <v>15040.4</v>
      </c>
      <c r="AK7" s="57">
        <f t="shared" ref="AK7:AM22" si="6">(AJ7+(($AF7-$F7)*0.25))</f>
        <v>16373.949999999999</v>
      </c>
      <c r="AL7" s="58">
        <f t="shared" si="6"/>
        <v>17707.5</v>
      </c>
      <c r="AM7" s="59">
        <f t="shared" si="6"/>
        <v>19041.05</v>
      </c>
      <c r="AO7" t="str">
        <f>IF('Berechnung Nettolohn'!$D$28=Lohntabelle24!AH7,IF(AND('Berechnung Nettolohn'!$D$4&lt;Lohntabelle24!AJ7,'Berechnung Nettolohn'!$D$4&gt;=Lohntabelle24!AI7),"Unterfunktionslohn",IF(AND('Berechnung Nettolohn'!$D$4&lt;Lohntabelle24!AK7,'Berechnung Nettolohn'!$D$4&gt;=Lohntabelle24!AJ7),"1. Quartil",IF(AND('Berechnung Nettolohn'!$D$4&lt;Lohntabelle24!AL7,'Berechnung Nettolohn'!$D$4&gt;=Lohntabelle24!AK7),"2. Quartil",IF(AND('Berechnung Nettolohn'!$D$4&lt;Lohntabelle24!AM7,'Berechnung Nettolohn'!$D$4&gt;=Lohntabelle24!AL7),"3. Quartil",IF(AND('Berechnung Nettolohn'!$D$4&gt;=Lohntabelle24!AM7,'Berechnung Nettolohn'!$D$4&lt;Lohntabelle24!AF7),"4. Quartil",IF('Berechnung Nettolohn'!$D$4=Lohntabelle24!AF7,"höchster Erfahrungswert","Lohnband prüfen")))))),"")</f>
        <v/>
      </c>
      <c r="AP7" t="e">
        <f>IF(#REF!=Lohntabelle24!AH7,IF(AND(#REF!&lt;Lohntabelle24!AJ7,#REF!&gt;=Lohntabelle24!AI7),"Unterfunktionslohn",IF(AND(#REF!&lt;Lohntabelle24!AK7,#REF!&gt;=Lohntabelle24!AJ7),"1. Quartil",IF(AND(#REF!&lt;Lohntabelle24!AL7,#REF!&gt;=Lohntabelle24!AK7),"2. Quartil",IF(AND(#REF!&lt;Lohntabelle24!AM7,#REF!&gt;=Lohntabelle24!AL7),"3. Quartil",IF(AND(#REF!&gt;=Lohntabelle24!AM7,#REF!&lt;Lohntabelle24!AF7),"4. Quartil",IF(#REF!=Lohntabelle24!AF7,"höchsten Erfahrungswert","Lohnband prüfen")))))),"")</f>
        <v>#REF!</v>
      </c>
      <c r="AT7" s="24">
        <f t="shared" ref="AT7:AT33" si="7">((AI7-AI44)/AI44)</f>
        <v>2.4499240333633151E-2</v>
      </c>
      <c r="AU7" s="24">
        <f t="shared" ref="AU7:AV33" si="8">((AJ7-AJ44)/AJ44)</f>
        <v>2.4501556465291088E-2</v>
      </c>
      <c r="AV7" s="24">
        <f t="shared" si="4"/>
        <v>2.4501227525029524E-2</v>
      </c>
      <c r="AW7" s="24">
        <f t="shared" ref="AW7:AW33" si="9">((AL7-AL44)/AL44)</f>
        <v>2.4500948129848356E-2</v>
      </c>
      <c r="AX7" s="24">
        <f t="shared" ref="AX7:AX33" si="10">((AM7-AM44)/AM44)</f>
        <v>2.4500707869967307E-2</v>
      </c>
    </row>
    <row r="8" spans="1:50" x14ac:dyDescent="0.2">
      <c r="A8" s="44"/>
      <c r="B8" s="49">
        <v>3</v>
      </c>
      <c r="C8" s="54">
        <f t="shared" ref="C8:AF8" si="11">ROUND((C45+(C45*($F$2+$J$2)))*20,0)/20</f>
        <v>12461.7</v>
      </c>
      <c r="D8" s="54">
        <f t="shared" si="11"/>
        <v>13033.75</v>
      </c>
      <c r="E8" s="54">
        <f t="shared" si="11"/>
        <v>13605.8</v>
      </c>
      <c r="F8" s="54">
        <f t="shared" si="11"/>
        <v>14178</v>
      </c>
      <c r="G8" s="54">
        <f t="shared" si="11"/>
        <v>14729.85</v>
      </c>
      <c r="H8" s="54">
        <f t="shared" si="11"/>
        <v>15281.95</v>
      </c>
      <c r="I8" s="54">
        <f t="shared" si="11"/>
        <v>15834</v>
      </c>
      <c r="J8" s="54">
        <f t="shared" si="11"/>
        <v>16385.8</v>
      </c>
      <c r="K8" s="54">
        <f t="shared" si="11"/>
        <v>16627.5</v>
      </c>
      <c r="L8" s="54">
        <f t="shared" si="11"/>
        <v>16869.349999999999</v>
      </c>
      <c r="M8" s="54">
        <f t="shared" si="11"/>
        <v>17111</v>
      </c>
      <c r="N8" s="54">
        <f t="shared" si="11"/>
        <v>17352.650000000001</v>
      </c>
      <c r="O8" s="54">
        <f t="shared" si="11"/>
        <v>17535.25</v>
      </c>
      <c r="P8" s="54">
        <f t="shared" si="11"/>
        <v>17717.8</v>
      </c>
      <c r="Q8" s="54">
        <f t="shared" si="11"/>
        <v>17900.349999999999</v>
      </c>
      <c r="R8" s="54">
        <f t="shared" si="11"/>
        <v>18082.95</v>
      </c>
      <c r="S8" s="54">
        <f t="shared" si="11"/>
        <v>18265.45</v>
      </c>
      <c r="T8" s="54">
        <f t="shared" si="11"/>
        <v>18448</v>
      </c>
      <c r="U8" s="54">
        <f t="shared" si="11"/>
        <v>18630.599999999999</v>
      </c>
      <c r="V8" s="54">
        <f t="shared" si="11"/>
        <v>18813.05</v>
      </c>
      <c r="W8" s="54">
        <f t="shared" si="11"/>
        <v>18813.05</v>
      </c>
      <c r="X8" s="54">
        <f t="shared" si="11"/>
        <v>18902.599999999999</v>
      </c>
      <c r="Y8" s="54">
        <f t="shared" si="11"/>
        <v>18902.599999999999</v>
      </c>
      <c r="Z8" s="54">
        <f t="shared" si="11"/>
        <v>18992.05</v>
      </c>
      <c r="AA8" s="54">
        <f t="shared" si="11"/>
        <v>18992.05</v>
      </c>
      <c r="AB8" s="54">
        <f t="shared" si="11"/>
        <v>19081.599999999999</v>
      </c>
      <c r="AC8" s="54">
        <f t="shared" si="11"/>
        <v>19081.599999999999</v>
      </c>
      <c r="AD8" s="54">
        <f t="shared" si="11"/>
        <v>19171.099999999999</v>
      </c>
      <c r="AE8" s="54">
        <f t="shared" si="11"/>
        <v>19171.099999999999</v>
      </c>
      <c r="AF8" s="54">
        <f t="shared" si="11"/>
        <v>19260.5</v>
      </c>
      <c r="AG8" s="44"/>
      <c r="AH8" s="49">
        <v>3</v>
      </c>
      <c r="AI8" s="55">
        <f t="shared" si="1"/>
        <v>12461.7</v>
      </c>
      <c r="AJ8" s="56">
        <f t="shared" si="2"/>
        <v>14178</v>
      </c>
      <c r="AK8" s="57">
        <f t="shared" si="6"/>
        <v>15448.625</v>
      </c>
      <c r="AL8" s="58">
        <f t="shared" si="6"/>
        <v>16719.25</v>
      </c>
      <c r="AM8" s="59">
        <f t="shared" si="6"/>
        <v>17989.875</v>
      </c>
      <c r="AO8" t="str">
        <f>IF('Berechnung Nettolohn'!$D$28=Lohntabelle24!AH8,IF(AND('Berechnung Nettolohn'!$D$4&lt;Lohntabelle24!AJ8,'Berechnung Nettolohn'!$D$4&gt;=Lohntabelle24!AI8),"Unterfunktionslohn",IF(AND('Berechnung Nettolohn'!$D$4&lt;Lohntabelle24!AK8,'Berechnung Nettolohn'!$D$4&gt;=Lohntabelle24!AJ8),"1. Quartil",IF(AND('Berechnung Nettolohn'!$D$4&lt;Lohntabelle24!AL8,'Berechnung Nettolohn'!$D$4&gt;=Lohntabelle24!AK8),"2. Quartil",IF(AND('Berechnung Nettolohn'!$D$4&lt;Lohntabelle24!AM8,'Berechnung Nettolohn'!$D$4&gt;=Lohntabelle24!AL8),"3. Quartil",IF(AND('Berechnung Nettolohn'!$D$4&gt;=Lohntabelle24!AM8,'Berechnung Nettolohn'!$D$4&lt;Lohntabelle24!AF8),"4. Quartil",IF('Berechnung Nettolohn'!$D$4=Lohntabelle24!AF8,"höchster Erfahrungswert","Lohnband prüfen")))))),"")</f>
        <v/>
      </c>
      <c r="AP8" t="e">
        <f>IF(#REF!=Lohntabelle24!AH8,IF(AND(#REF!&lt;Lohntabelle24!AJ8,#REF!&gt;=Lohntabelle24!AI8),"Unterfunktionslohn",IF(AND(#REF!&lt;Lohntabelle24!AK8,#REF!&gt;=Lohntabelle24!AJ8),"1. Quartil",IF(AND(#REF!&lt;Lohntabelle24!AL8,#REF!&gt;=Lohntabelle24!AK8),"2. Quartil",IF(AND(#REF!&lt;Lohntabelle24!AM8,#REF!&gt;=Lohntabelle24!AL8),"3. Quartil",IF(AND(#REF!&gt;=Lohntabelle24!AM8,#REF!&lt;Lohntabelle24!AF8),"4. Quartil",IF(#REF!=Lohntabelle24!AF8,"höchsten Erfahrungswert","Lohnband prüfen")))))),"")</f>
        <v>#REF!</v>
      </c>
      <c r="AT8" s="24">
        <f t="shared" si="7"/>
        <v>2.4499124444042519E-2</v>
      </c>
      <c r="AU8" s="24">
        <f t="shared" si="8"/>
        <v>2.4499691089280563E-2</v>
      </c>
      <c r="AV8" s="24">
        <f t="shared" si="4"/>
        <v>2.4499827991395426E-2</v>
      </c>
      <c r="AW8" s="24">
        <f t="shared" si="9"/>
        <v>2.4499944085039808E-2</v>
      </c>
      <c r="AX8" s="24">
        <f t="shared" si="10"/>
        <v>2.450004377931532E-2</v>
      </c>
    </row>
    <row r="9" spans="1:50" x14ac:dyDescent="0.2">
      <c r="A9" s="44"/>
      <c r="B9" s="49">
        <v>4</v>
      </c>
      <c r="C9" s="54">
        <f t="shared" ref="C9:AF9" si="12">ROUND((C46+(C46*($F$2+$J$2)))*20,0)/20</f>
        <v>11707.25</v>
      </c>
      <c r="D9" s="54">
        <f t="shared" si="12"/>
        <v>12243.25</v>
      </c>
      <c r="E9" s="54">
        <f t="shared" si="12"/>
        <v>12779.35</v>
      </c>
      <c r="F9" s="54">
        <f t="shared" si="12"/>
        <v>13315.45</v>
      </c>
      <c r="G9" s="54">
        <f t="shared" si="12"/>
        <v>13832.9</v>
      </c>
      <c r="H9" s="54">
        <f t="shared" si="12"/>
        <v>14350.1</v>
      </c>
      <c r="I9" s="54">
        <f t="shared" si="12"/>
        <v>14867.6</v>
      </c>
      <c r="J9" s="54">
        <f t="shared" si="12"/>
        <v>15385</v>
      </c>
      <c r="K9" s="54">
        <f t="shared" si="12"/>
        <v>15611.6</v>
      </c>
      <c r="L9" s="54">
        <f t="shared" si="12"/>
        <v>15838.1</v>
      </c>
      <c r="M9" s="54">
        <f t="shared" si="12"/>
        <v>16064.65</v>
      </c>
      <c r="N9" s="54">
        <f t="shared" si="12"/>
        <v>16291.1</v>
      </c>
      <c r="O9" s="54">
        <f t="shared" si="12"/>
        <v>16470.75</v>
      </c>
      <c r="P9" s="54">
        <f t="shared" si="12"/>
        <v>16650.45</v>
      </c>
      <c r="Q9" s="54">
        <f t="shared" si="12"/>
        <v>16830.2</v>
      </c>
      <c r="R9" s="54">
        <f t="shared" si="12"/>
        <v>17009.900000000001</v>
      </c>
      <c r="S9" s="54">
        <f t="shared" si="12"/>
        <v>17189.400000000001</v>
      </c>
      <c r="T9" s="54">
        <f t="shared" si="12"/>
        <v>17369.150000000001</v>
      </c>
      <c r="U9" s="54">
        <f t="shared" si="12"/>
        <v>17548.8</v>
      </c>
      <c r="V9" s="54">
        <f t="shared" si="12"/>
        <v>17728.5</v>
      </c>
      <c r="W9" s="54">
        <f t="shared" si="12"/>
        <v>17728.5</v>
      </c>
      <c r="X9" s="54">
        <f t="shared" si="12"/>
        <v>17812.150000000001</v>
      </c>
      <c r="Y9" s="54">
        <f t="shared" si="12"/>
        <v>17812.150000000001</v>
      </c>
      <c r="Z9" s="54">
        <f t="shared" si="12"/>
        <v>17895.650000000001</v>
      </c>
      <c r="AA9" s="54">
        <f t="shared" si="12"/>
        <v>17895.650000000001</v>
      </c>
      <c r="AB9" s="54">
        <f t="shared" si="12"/>
        <v>17979.349999999999</v>
      </c>
      <c r="AC9" s="54">
        <f t="shared" si="12"/>
        <v>17979.349999999999</v>
      </c>
      <c r="AD9" s="54">
        <f t="shared" si="12"/>
        <v>18062.8</v>
      </c>
      <c r="AE9" s="54">
        <f t="shared" si="12"/>
        <v>18062.8</v>
      </c>
      <c r="AF9" s="54">
        <f t="shared" si="12"/>
        <v>18146.599999999999</v>
      </c>
      <c r="AG9" s="44"/>
      <c r="AH9" s="49">
        <v>4</v>
      </c>
      <c r="AI9" s="55">
        <f t="shared" si="1"/>
        <v>11707.25</v>
      </c>
      <c r="AJ9" s="56">
        <f t="shared" si="2"/>
        <v>13315.45</v>
      </c>
      <c r="AK9" s="57">
        <f t="shared" si="6"/>
        <v>14523.237499999999</v>
      </c>
      <c r="AL9" s="58">
        <f t="shared" si="6"/>
        <v>15731.024999999998</v>
      </c>
      <c r="AM9" s="59">
        <f t="shared" si="6"/>
        <v>16938.812499999996</v>
      </c>
      <c r="AO9" t="str">
        <f>IF('Berechnung Nettolohn'!$D$28=Lohntabelle24!AH9,IF(AND('Berechnung Nettolohn'!$D$4&lt;Lohntabelle24!AJ9,'Berechnung Nettolohn'!$D$4&gt;=Lohntabelle24!AI9),"Unterfunktionslohn",IF(AND('Berechnung Nettolohn'!$D$4&lt;Lohntabelle24!AK9,'Berechnung Nettolohn'!$D$4&gt;=Lohntabelle24!AJ9),"1. Quartil",IF(AND('Berechnung Nettolohn'!$D$4&lt;Lohntabelle24!AL9,'Berechnung Nettolohn'!$D$4&gt;=Lohntabelle24!AK9),"2. Quartil",IF(AND('Berechnung Nettolohn'!$D$4&lt;Lohntabelle24!AM9,'Berechnung Nettolohn'!$D$4&gt;=Lohntabelle24!AL9),"3. Quartil",IF(AND('Berechnung Nettolohn'!$D$4&gt;=Lohntabelle24!AM9,'Berechnung Nettolohn'!$D$4&lt;Lohntabelle24!AF9),"4. Quartil",IF('Berechnung Nettolohn'!$D$4=Lohntabelle24!AF9,"höchster Erfahrungswert","Lohnband prüfen")))))),"")</f>
        <v/>
      </c>
      <c r="AP9" t="e">
        <f>IF(#REF!=Lohntabelle24!AH9,IF(AND(#REF!&lt;Lohntabelle24!AJ9,#REF!&gt;=Lohntabelle24!AI9),"Unterfunktionslohn",IF(AND(#REF!&lt;Lohntabelle24!AK9,#REF!&gt;=Lohntabelle24!AJ9),"1. Quartil",IF(AND(#REF!&lt;Lohntabelle24!AL9,#REF!&gt;=Lohntabelle24!AK9),"2. Quartil",IF(AND(#REF!&lt;Lohntabelle24!AM9,#REF!&gt;=Lohntabelle24!AL9),"3. Quartil",IF(AND(#REF!&gt;=Lohntabelle24!AM9,#REF!&lt;Lohntabelle24!AF9),"4. Quartil",IF(#REF!=Lohntabelle24!AF9,"höchsten Erfahrungswert","Lohnband prüfen")))))),"")</f>
        <v>#REF!</v>
      </c>
      <c r="AT9" s="24">
        <f t="shared" si="7"/>
        <v>2.4498350441486679E-2</v>
      </c>
      <c r="AU9" s="24">
        <f t="shared" si="8"/>
        <v>2.4501808109563802E-2</v>
      </c>
      <c r="AV9" s="24">
        <f t="shared" si="4"/>
        <v>2.4501068273382675E-2</v>
      </c>
      <c r="AW9" s="24">
        <f t="shared" si="9"/>
        <v>2.4500442043461718E-2</v>
      </c>
      <c r="AX9" s="24">
        <f t="shared" si="10"/>
        <v>2.4499905118246457E-2</v>
      </c>
    </row>
    <row r="10" spans="1:50" x14ac:dyDescent="0.2">
      <c r="A10" s="44"/>
      <c r="B10" s="49">
        <v>5</v>
      </c>
      <c r="C10" s="54">
        <f t="shared" ref="C10:AF10" si="13">ROUND((C47+(C47*($F$2+$J$2)))*20,0)/20</f>
        <v>10952.15</v>
      </c>
      <c r="D10" s="54">
        <f t="shared" si="13"/>
        <v>11452.3</v>
      </c>
      <c r="E10" s="54">
        <f t="shared" si="13"/>
        <v>11952.55</v>
      </c>
      <c r="F10" s="54">
        <f t="shared" si="13"/>
        <v>12452.85</v>
      </c>
      <c r="G10" s="54">
        <f t="shared" si="13"/>
        <v>12935.5</v>
      </c>
      <c r="H10" s="54">
        <f t="shared" si="13"/>
        <v>13418.3</v>
      </c>
      <c r="I10" s="54">
        <f t="shared" si="13"/>
        <v>13901</v>
      </c>
      <c r="J10" s="54">
        <f t="shared" si="13"/>
        <v>14383.8</v>
      </c>
      <c r="K10" s="54">
        <f t="shared" si="13"/>
        <v>14595.15</v>
      </c>
      <c r="L10" s="54">
        <f t="shared" si="13"/>
        <v>14806.45</v>
      </c>
      <c r="M10" s="54">
        <f t="shared" si="13"/>
        <v>15017.85</v>
      </c>
      <c r="N10" s="54">
        <f t="shared" si="13"/>
        <v>15229.2</v>
      </c>
      <c r="O10" s="54">
        <f t="shared" si="13"/>
        <v>15404.65</v>
      </c>
      <c r="P10" s="54">
        <f t="shared" si="13"/>
        <v>15580.15</v>
      </c>
      <c r="Q10" s="54">
        <f t="shared" si="13"/>
        <v>15755.4</v>
      </c>
      <c r="R10" s="54">
        <f t="shared" si="13"/>
        <v>15930.9</v>
      </c>
      <c r="S10" s="54">
        <f t="shared" si="13"/>
        <v>16106.4</v>
      </c>
      <c r="T10" s="54">
        <f t="shared" si="13"/>
        <v>16281.85</v>
      </c>
      <c r="U10" s="54">
        <f t="shared" si="13"/>
        <v>16457.349999999999</v>
      </c>
      <c r="V10" s="54">
        <f t="shared" si="13"/>
        <v>16632.75</v>
      </c>
      <c r="W10" s="54">
        <f t="shared" si="13"/>
        <v>16632.75</v>
      </c>
      <c r="X10" s="54">
        <f t="shared" si="13"/>
        <v>16712.599999999999</v>
      </c>
      <c r="Y10" s="54">
        <f t="shared" si="13"/>
        <v>16712.599999999999</v>
      </c>
      <c r="Z10" s="54">
        <f t="shared" si="13"/>
        <v>16792.650000000001</v>
      </c>
      <c r="AA10" s="54">
        <f t="shared" si="13"/>
        <v>16792.650000000001</v>
      </c>
      <c r="AB10" s="54">
        <f t="shared" si="13"/>
        <v>16872.55</v>
      </c>
      <c r="AC10" s="54">
        <f t="shared" si="13"/>
        <v>16872.55</v>
      </c>
      <c r="AD10" s="54">
        <f t="shared" si="13"/>
        <v>16952.45</v>
      </c>
      <c r="AE10" s="54">
        <f t="shared" si="13"/>
        <v>16952.45</v>
      </c>
      <c r="AF10" s="54">
        <f t="shared" si="13"/>
        <v>17032.55</v>
      </c>
      <c r="AG10" s="44"/>
      <c r="AH10" s="49">
        <v>5</v>
      </c>
      <c r="AI10" s="55">
        <f t="shared" si="1"/>
        <v>10952.15</v>
      </c>
      <c r="AJ10" s="56">
        <f t="shared" si="2"/>
        <v>12452.85</v>
      </c>
      <c r="AK10" s="57">
        <f t="shared" si="6"/>
        <v>13597.775</v>
      </c>
      <c r="AL10" s="58">
        <f t="shared" si="6"/>
        <v>14742.699999999999</v>
      </c>
      <c r="AM10" s="59">
        <f t="shared" si="6"/>
        <v>15887.624999999998</v>
      </c>
      <c r="AO10" t="str">
        <f>IF('Berechnung Nettolohn'!$D$28=Lohntabelle24!AH10,IF(AND('Berechnung Nettolohn'!$D$4&lt;Lohntabelle24!AJ10,'Berechnung Nettolohn'!$D$4&gt;=Lohntabelle24!AI10),"Unterfunktionslohn",IF(AND('Berechnung Nettolohn'!$D$4&lt;Lohntabelle24!AK10,'Berechnung Nettolohn'!$D$4&gt;=Lohntabelle24!AJ10),"1. Quartil",IF(AND('Berechnung Nettolohn'!$D$4&lt;Lohntabelle24!AL10,'Berechnung Nettolohn'!$D$4&gt;=Lohntabelle24!AK10),"2. Quartil",IF(AND('Berechnung Nettolohn'!$D$4&lt;Lohntabelle24!AM10,'Berechnung Nettolohn'!$D$4&gt;=Lohntabelle24!AL10),"3. Quartil",IF(AND('Berechnung Nettolohn'!$D$4&gt;=Lohntabelle24!AM10,'Berechnung Nettolohn'!$D$4&lt;Lohntabelle24!AF10),"4. Quartil",IF('Berechnung Nettolohn'!$D$4=Lohntabelle24!AF10,"höchster Erfahrungswert","Lohnband prüfen")))))),"")</f>
        <v/>
      </c>
      <c r="AP10" t="e">
        <f>IF(#REF!=Lohntabelle24!AH10,IF(AND(#REF!&lt;Lohntabelle24!AJ10,#REF!&gt;=Lohntabelle24!AI10),"Unterfunktionslohn",IF(AND(#REF!&lt;Lohntabelle24!AK10,#REF!&gt;=Lohntabelle24!AJ10),"1. Quartil",IF(AND(#REF!&lt;Lohntabelle24!AL10,#REF!&gt;=Lohntabelle24!AK10),"2. Quartil",IF(AND(#REF!&lt;Lohntabelle24!AM10,#REF!&gt;=Lohntabelle24!AL10),"3. Quartil",IF(AND(#REF!&gt;=Lohntabelle24!AM10,#REF!&lt;Lohntabelle24!AF10),"4. Quartil",IF(#REF!=Lohntabelle24!AF10,"höchsten Erfahrungswert","Lohnband prüfen")))))),"")</f>
        <v>#REF!</v>
      </c>
      <c r="AT10" s="24">
        <f t="shared" si="7"/>
        <v>2.4498959332101649E-2</v>
      </c>
      <c r="AU10" s="24">
        <f t="shared" si="8"/>
        <v>2.45001048946735E-2</v>
      </c>
      <c r="AV10" s="24">
        <f t="shared" si="4"/>
        <v>2.4499721230203664E-2</v>
      </c>
      <c r="AW10" s="24">
        <f t="shared" si="9"/>
        <v>2.4499397157083224E-2</v>
      </c>
      <c r="AX10" s="24">
        <f t="shared" si="10"/>
        <v>2.4499119792103351E-2</v>
      </c>
    </row>
    <row r="11" spans="1:50" x14ac:dyDescent="0.2">
      <c r="A11" s="44"/>
      <c r="B11" s="49">
        <v>6</v>
      </c>
      <c r="C11" s="54">
        <f t="shared" ref="C11:AF11" si="14">ROUND((C48+(C48*($F$2+$J$2)))*20,0)/20</f>
        <v>10197.6</v>
      </c>
      <c r="D11" s="54">
        <f t="shared" si="14"/>
        <v>10661.8</v>
      </c>
      <c r="E11" s="54">
        <f t="shared" si="14"/>
        <v>11126.2</v>
      </c>
      <c r="F11" s="54">
        <f t="shared" si="14"/>
        <v>11590.35</v>
      </c>
      <c r="G11" s="54">
        <f t="shared" si="14"/>
        <v>12038.5</v>
      </c>
      <c r="H11" s="54">
        <f t="shared" si="14"/>
        <v>12486.55</v>
      </c>
      <c r="I11" s="54">
        <f t="shared" si="14"/>
        <v>12934.55</v>
      </c>
      <c r="J11" s="54">
        <f t="shared" si="14"/>
        <v>13382.6</v>
      </c>
      <c r="K11" s="54">
        <f t="shared" si="14"/>
        <v>13578.7</v>
      </c>
      <c r="L11" s="54">
        <f t="shared" si="14"/>
        <v>13774.85</v>
      </c>
      <c r="M11" s="54">
        <f t="shared" si="14"/>
        <v>13971.05</v>
      </c>
      <c r="N11" s="54">
        <f t="shared" si="14"/>
        <v>14167.15</v>
      </c>
      <c r="O11" s="54">
        <f t="shared" si="14"/>
        <v>14338.7</v>
      </c>
      <c r="P11" s="54">
        <f t="shared" si="14"/>
        <v>14510</v>
      </c>
      <c r="Q11" s="54">
        <f t="shared" si="14"/>
        <v>14681.45</v>
      </c>
      <c r="R11" s="54">
        <f t="shared" si="14"/>
        <v>14852.85</v>
      </c>
      <c r="S11" s="54">
        <f t="shared" si="14"/>
        <v>15024.35</v>
      </c>
      <c r="T11" s="54">
        <f t="shared" si="14"/>
        <v>15195.75</v>
      </c>
      <c r="U11" s="54">
        <f t="shared" si="14"/>
        <v>15367.1</v>
      </c>
      <c r="V11" s="54">
        <f t="shared" si="14"/>
        <v>15538.5</v>
      </c>
      <c r="W11" s="54">
        <f t="shared" si="14"/>
        <v>15538.5</v>
      </c>
      <c r="X11" s="54">
        <f t="shared" si="14"/>
        <v>15614.6</v>
      </c>
      <c r="Y11" s="54">
        <f t="shared" si="14"/>
        <v>15614.6</v>
      </c>
      <c r="Z11" s="54">
        <f t="shared" si="14"/>
        <v>15690.7</v>
      </c>
      <c r="AA11" s="54">
        <f t="shared" si="14"/>
        <v>15690.7</v>
      </c>
      <c r="AB11" s="54">
        <f t="shared" si="14"/>
        <v>15766.7</v>
      </c>
      <c r="AC11" s="54">
        <f t="shared" si="14"/>
        <v>15766.7</v>
      </c>
      <c r="AD11" s="54">
        <f t="shared" si="14"/>
        <v>15842.7</v>
      </c>
      <c r="AE11" s="54">
        <f t="shared" si="14"/>
        <v>15842.7</v>
      </c>
      <c r="AF11" s="54">
        <f t="shared" si="14"/>
        <v>15918.85</v>
      </c>
      <c r="AG11" s="44"/>
      <c r="AH11" s="49">
        <v>6</v>
      </c>
      <c r="AI11" s="55">
        <f t="shared" si="1"/>
        <v>10197.6</v>
      </c>
      <c r="AJ11" s="56">
        <f t="shared" si="2"/>
        <v>11590.35</v>
      </c>
      <c r="AK11" s="57">
        <f t="shared" si="6"/>
        <v>12672.475</v>
      </c>
      <c r="AL11" s="58">
        <f t="shared" si="6"/>
        <v>13754.6</v>
      </c>
      <c r="AM11" s="59">
        <f t="shared" si="6"/>
        <v>14836.725</v>
      </c>
      <c r="AO11" t="str">
        <f>IF('Berechnung Nettolohn'!$D$28=Lohntabelle24!AH11,IF(AND('Berechnung Nettolohn'!$D$4&lt;Lohntabelle24!AJ11,'Berechnung Nettolohn'!$D$4&gt;=Lohntabelle24!AI11),"Unterfunktionslohn",IF(AND('Berechnung Nettolohn'!$D$4&lt;Lohntabelle24!AK11,'Berechnung Nettolohn'!$D$4&gt;=Lohntabelle24!AJ11),"1. Quartil",IF(AND('Berechnung Nettolohn'!$D$4&lt;Lohntabelle24!AL11,'Berechnung Nettolohn'!$D$4&gt;=Lohntabelle24!AK11),"2. Quartil",IF(AND('Berechnung Nettolohn'!$D$4&lt;Lohntabelle24!AM11,'Berechnung Nettolohn'!$D$4&gt;=Lohntabelle24!AL11),"3. Quartil",IF(AND('Berechnung Nettolohn'!$D$4&gt;=Lohntabelle24!AM11,'Berechnung Nettolohn'!$D$4&lt;Lohntabelle24!AF11),"4. Quartil",IF('Berechnung Nettolohn'!$D$4=Lohntabelle24!AF11,"höchster Erfahrungswert","Lohnband prüfen")))))),"")</f>
        <v/>
      </c>
      <c r="AP11" t="e">
        <f>IF(#REF!=Lohntabelle24!AH11,IF(AND(#REF!&lt;Lohntabelle24!AJ11,#REF!&gt;=Lohntabelle24!AI11),"Unterfunktionslohn",IF(AND(#REF!&lt;Lohntabelle24!AK11,#REF!&gt;=Lohntabelle24!AJ11),"1. Quartil",IF(AND(#REF!&lt;Lohntabelle24!AL11,#REF!&gt;=Lohntabelle24!AK11),"2. Quartil",IF(AND(#REF!&lt;Lohntabelle24!AM11,#REF!&gt;=Lohntabelle24!AL11),"3. Quartil",IF(AND(#REF!&gt;=Lohntabelle24!AM11,#REF!&lt;Lohntabelle24!AF11),"4. Quartil",IF(#REF!=Lohntabelle24!AF11,"höchsten Erfahrungswert","Lohnband prüfen")))))),"")</f>
        <v>#REF!</v>
      </c>
      <c r="AT11" s="24">
        <f t="shared" si="7"/>
        <v>2.4498304659048134E-2</v>
      </c>
      <c r="AU11" s="24">
        <f t="shared" si="8"/>
        <v>2.4497931619700847E-2</v>
      </c>
      <c r="AV11" s="24">
        <f t="shared" si="4"/>
        <v>2.4498890915613612E-2</v>
      </c>
      <c r="AW11" s="24">
        <f t="shared" si="9"/>
        <v>2.4499699270241617E-2</v>
      </c>
      <c r="AX11" s="24">
        <f t="shared" si="10"/>
        <v>2.4500389710268022E-2</v>
      </c>
    </row>
    <row r="12" spans="1:50" x14ac:dyDescent="0.2">
      <c r="A12" s="44"/>
      <c r="B12" s="49">
        <v>7</v>
      </c>
      <c r="C12" s="54">
        <f t="shared" ref="C12:AF12" si="15">ROUND((C49+(C49*($F$2+$J$2)))*20,0)/20</f>
        <v>9434.85</v>
      </c>
      <c r="D12" s="54">
        <f t="shared" si="15"/>
        <v>9865.9</v>
      </c>
      <c r="E12" s="54">
        <f t="shared" si="15"/>
        <v>10296.9</v>
      </c>
      <c r="F12" s="54">
        <f t="shared" si="15"/>
        <v>10728</v>
      </c>
      <c r="G12" s="54">
        <f t="shared" si="15"/>
        <v>11141.3</v>
      </c>
      <c r="H12" s="54">
        <f t="shared" si="15"/>
        <v>11554.6</v>
      </c>
      <c r="I12" s="54">
        <f t="shared" si="15"/>
        <v>11968.05</v>
      </c>
      <c r="J12" s="54">
        <f t="shared" si="15"/>
        <v>12381.3</v>
      </c>
      <c r="K12" s="54">
        <f t="shared" si="15"/>
        <v>12562.3</v>
      </c>
      <c r="L12" s="54">
        <f t="shared" si="15"/>
        <v>12743.3</v>
      </c>
      <c r="M12" s="54">
        <f t="shared" si="15"/>
        <v>12924.1</v>
      </c>
      <c r="N12" s="54">
        <f t="shared" si="15"/>
        <v>13105.1</v>
      </c>
      <c r="O12" s="54">
        <f t="shared" si="15"/>
        <v>13271.9</v>
      </c>
      <c r="P12" s="54">
        <f t="shared" si="15"/>
        <v>13438.9</v>
      </c>
      <c r="Q12" s="54">
        <f t="shared" si="15"/>
        <v>13605.7</v>
      </c>
      <c r="R12" s="54">
        <f t="shared" si="15"/>
        <v>13772.6</v>
      </c>
      <c r="S12" s="54">
        <f t="shared" si="15"/>
        <v>13939.65</v>
      </c>
      <c r="T12" s="54">
        <f t="shared" si="15"/>
        <v>14106.45</v>
      </c>
      <c r="U12" s="54">
        <f t="shared" si="15"/>
        <v>14273.3</v>
      </c>
      <c r="V12" s="54">
        <f t="shared" si="15"/>
        <v>14440.3</v>
      </c>
      <c r="W12" s="54">
        <f t="shared" si="15"/>
        <v>14440.3</v>
      </c>
      <c r="X12" s="54">
        <f t="shared" si="15"/>
        <v>14513</v>
      </c>
      <c r="Y12" s="54">
        <f t="shared" si="15"/>
        <v>14513</v>
      </c>
      <c r="Z12" s="54">
        <f t="shared" si="15"/>
        <v>14585.85</v>
      </c>
      <c r="AA12" s="54">
        <f t="shared" si="15"/>
        <v>14585.85</v>
      </c>
      <c r="AB12" s="54">
        <f t="shared" si="15"/>
        <v>14658.8</v>
      </c>
      <c r="AC12" s="54">
        <f t="shared" si="15"/>
        <v>14658.8</v>
      </c>
      <c r="AD12" s="54">
        <f t="shared" si="15"/>
        <v>14731.5</v>
      </c>
      <c r="AE12" s="54">
        <f t="shared" si="15"/>
        <v>14731.5</v>
      </c>
      <c r="AF12" s="54">
        <f t="shared" si="15"/>
        <v>14804.3</v>
      </c>
      <c r="AG12" s="44"/>
      <c r="AH12" s="49">
        <v>7</v>
      </c>
      <c r="AI12" s="55">
        <f t="shared" si="1"/>
        <v>9434.85</v>
      </c>
      <c r="AJ12" s="56">
        <f t="shared" si="2"/>
        <v>10728</v>
      </c>
      <c r="AK12" s="57">
        <f t="shared" si="6"/>
        <v>11747.075000000001</v>
      </c>
      <c r="AL12" s="58">
        <f t="shared" si="6"/>
        <v>12766.150000000001</v>
      </c>
      <c r="AM12" s="59">
        <f t="shared" si="6"/>
        <v>13785.225000000002</v>
      </c>
      <c r="AO12" t="str">
        <f>IF('Berechnung Nettolohn'!$D$28=Lohntabelle24!AH12,IF(AND('Berechnung Nettolohn'!$D$4&lt;Lohntabelle24!AJ12,'Berechnung Nettolohn'!$D$4&gt;=Lohntabelle24!AI12),"Unterfunktionslohn",IF(AND('Berechnung Nettolohn'!$D$4&lt;Lohntabelle24!AK12,'Berechnung Nettolohn'!$D$4&gt;=Lohntabelle24!AJ12),"1. Quartil",IF(AND('Berechnung Nettolohn'!$D$4&lt;Lohntabelle24!AL12,'Berechnung Nettolohn'!$D$4&gt;=Lohntabelle24!AK12),"2. Quartil",IF(AND('Berechnung Nettolohn'!$D$4&lt;Lohntabelle24!AM12,'Berechnung Nettolohn'!$D$4&gt;=Lohntabelle24!AL12),"3. Quartil",IF(AND('Berechnung Nettolohn'!$D$4&gt;=Lohntabelle24!AM12,'Berechnung Nettolohn'!$D$4&lt;Lohntabelle24!AF12),"4. Quartil",IF('Berechnung Nettolohn'!$D$4=Lohntabelle24!AF12,"höchster Erfahrungswert","Lohnband prüfen")))))),"")</f>
        <v/>
      </c>
      <c r="AP12" t="e">
        <f>IF(#REF!=Lohntabelle24!AH12,IF(AND(#REF!&lt;Lohntabelle24!AJ12,#REF!&gt;=Lohntabelle24!AI12),"Unterfunktionslohn",IF(AND(#REF!&lt;Lohntabelle24!AK12,#REF!&gt;=Lohntabelle24!AJ12),"1. Quartil",IF(AND(#REF!&lt;Lohntabelle24!AL12,#REF!&gt;=Lohntabelle24!AK12),"2. Quartil",IF(AND(#REF!&lt;Lohntabelle24!AM12,#REF!&gt;=Lohntabelle24!AL12),"3. Quartil",IF(AND(#REF!&gt;=Lohntabelle24!AM12,#REF!&lt;Lohntabelle24!AF12),"4. Quartil",IF(#REF!=Lohntabelle24!AF12,"höchsten Erfahrungswert","Lohnband prüfen")))))),"")</f>
        <v>#REF!</v>
      </c>
      <c r="AT12" s="24">
        <f t="shared" si="7"/>
        <v>2.4502671241801634E-2</v>
      </c>
      <c r="AU12" s="24">
        <f t="shared" si="8"/>
        <v>2.449994986367688E-2</v>
      </c>
      <c r="AV12" s="24">
        <f t="shared" si="4"/>
        <v>2.4500377197228296E-2</v>
      </c>
      <c r="AW12" s="24">
        <f t="shared" si="9"/>
        <v>2.4500736306110677E-2</v>
      </c>
      <c r="AX12" s="24">
        <f t="shared" si="10"/>
        <v>2.4501042320826661E-2</v>
      </c>
    </row>
    <row r="13" spans="1:50" x14ac:dyDescent="0.2">
      <c r="A13" s="44"/>
      <c r="B13" s="49">
        <v>8</v>
      </c>
      <c r="C13" s="54">
        <f t="shared" ref="C13:AF13" si="16">ROUND((C50+(C50*($F$2+$J$2)))*20,0)/20</f>
        <v>8739.5499999999993</v>
      </c>
      <c r="D13" s="54">
        <f t="shared" si="16"/>
        <v>9143.1</v>
      </c>
      <c r="E13" s="54">
        <f t="shared" si="16"/>
        <v>9546.6</v>
      </c>
      <c r="F13" s="54">
        <f t="shared" si="16"/>
        <v>9950.1</v>
      </c>
      <c r="G13" s="54">
        <f t="shared" si="16"/>
        <v>10331.950000000001</v>
      </c>
      <c r="H13" s="54">
        <f t="shared" si="16"/>
        <v>10713.7</v>
      </c>
      <c r="I13" s="54">
        <f t="shared" si="16"/>
        <v>11095.8</v>
      </c>
      <c r="J13" s="54">
        <f t="shared" si="16"/>
        <v>11477.6</v>
      </c>
      <c r="K13" s="54">
        <f t="shared" si="16"/>
        <v>11644.5</v>
      </c>
      <c r="L13" s="54">
        <f t="shared" si="16"/>
        <v>11811.6</v>
      </c>
      <c r="M13" s="54">
        <f t="shared" si="16"/>
        <v>11978.7</v>
      </c>
      <c r="N13" s="54">
        <f t="shared" si="16"/>
        <v>12145.8</v>
      </c>
      <c r="O13" s="54">
        <f t="shared" si="16"/>
        <v>12297.8</v>
      </c>
      <c r="P13" s="54">
        <f t="shared" si="16"/>
        <v>12449.85</v>
      </c>
      <c r="Q13" s="54">
        <f t="shared" si="16"/>
        <v>12601.8</v>
      </c>
      <c r="R13" s="54">
        <f t="shared" si="16"/>
        <v>12753.85</v>
      </c>
      <c r="S13" s="54">
        <f t="shared" si="16"/>
        <v>12905.85</v>
      </c>
      <c r="T13" s="54">
        <f t="shared" si="16"/>
        <v>13057.9</v>
      </c>
      <c r="U13" s="54">
        <f t="shared" si="16"/>
        <v>13209.85</v>
      </c>
      <c r="V13" s="54">
        <f t="shared" si="16"/>
        <v>13361.8</v>
      </c>
      <c r="W13" s="54">
        <f t="shared" si="16"/>
        <v>13361.8</v>
      </c>
      <c r="X13" s="54">
        <f t="shared" si="16"/>
        <v>13428.4</v>
      </c>
      <c r="Y13" s="54">
        <f t="shared" si="16"/>
        <v>13428.4</v>
      </c>
      <c r="Z13" s="54">
        <f t="shared" si="16"/>
        <v>13494.65</v>
      </c>
      <c r="AA13" s="54">
        <f t="shared" si="16"/>
        <v>13494.65</v>
      </c>
      <c r="AB13" s="54">
        <f t="shared" si="16"/>
        <v>13561.15</v>
      </c>
      <c r="AC13" s="54">
        <f t="shared" si="16"/>
        <v>13561.15</v>
      </c>
      <c r="AD13" s="54">
        <f t="shared" si="16"/>
        <v>13627.55</v>
      </c>
      <c r="AE13" s="54">
        <f t="shared" si="16"/>
        <v>13627.55</v>
      </c>
      <c r="AF13" s="54">
        <f t="shared" si="16"/>
        <v>13694.05</v>
      </c>
      <c r="AG13" s="44"/>
      <c r="AH13" s="49">
        <v>8</v>
      </c>
      <c r="AI13" s="55">
        <f t="shared" si="1"/>
        <v>8739.5499999999993</v>
      </c>
      <c r="AJ13" s="56">
        <f t="shared" si="2"/>
        <v>9950.1</v>
      </c>
      <c r="AK13" s="57">
        <f t="shared" si="6"/>
        <v>10886.0875</v>
      </c>
      <c r="AL13" s="58">
        <f t="shared" si="6"/>
        <v>11822.074999999999</v>
      </c>
      <c r="AM13" s="59">
        <f t="shared" si="6"/>
        <v>12758.062499999998</v>
      </c>
      <c r="AO13" t="str">
        <f>IF('Berechnung Nettolohn'!$D$28=Lohntabelle24!AH13,IF(AND('Berechnung Nettolohn'!$D$4&lt;Lohntabelle24!AJ13,'Berechnung Nettolohn'!$D$4&gt;=Lohntabelle24!AI13),"Unterfunktionslohn",IF(AND('Berechnung Nettolohn'!$D$4&lt;Lohntabelle24!AK13,'Berechnung Nettolohn'!$D$4&gt;=Lohntabelle24!AJ13),"1. Quartil",IF(AND('Berechnung Nettolohn'!$D$4&lt;Lohntabelle24!AL13,'Berechnung Nettolohn'!$D$4&gt;=Lohntabelle24!AK13),"2. Quartil",IF(AND('Berechnung Nettolohn'!$D$4&lt;Lohntabelle24!AM13,'Berechnung Nettolohn'!$D$4&gt;=Lohntabelle24!AL13),"3. Quartil",IF(AND('Berechnung Nettolohn'!$D$4&gt;=Lohntabelle24!AM13,'Berechnung Nettolohn'!$D$4&lt;Lohntabelle24!AF13),"4. Quartil",IF('Berechnung Nettolohn'!$D$4=Lohntabelle24!AF13,"höchster Erfahrungswert","Lohnband prüfen")))))),"")</f>
        <v/>
      </c>
      <c r="AP13" t="e">
        <f>IF(#REF!=Lohntabelle24!AH13,IF(AND(#REF!&lt;Lohntabelle24!AJ13,#REF!&gt;=Lohntabelle24!AI13),"Unterfunktionslohn",IF(AND(#REF!&lt;Lohntabelle24!AK13,#REF!&gt;=Lohntabelle24!AJ13),"1. Quartil",IF(AND(#REF!&lt;Lohntabelle24!AL13,#REF!&gt;=Lohntabelle24!AK13),"2. Quartil",IF(AND(#REF!&lt;Lohntabelle24!AM13,#REF!&gt;=Lohntabelle24!AL13),"3. Quartil",IF(AND(#REF!&gt;=Lohntabelle24!AM13,#REF!&lt;Lohntabelle24!AF13),"4. Quartil",IF(#REF!=Lohntabelle24!AF13,"höchsten Erfahrungswert","Lohnband prüfen")))))),"")</f>
        <v>#REF!</v>
      </c>
      <c r="AT13" s="24">
        <f t="shared" si="7"/>
        <v>2.4500178769247004E-2</v>
      </c>
      <c r="AU13" s="24">
        <f t="shared" si="8"/>
        <v>2.4500239390866155E-2</v>
      </c>
      <c r="AV13" s="24">
        <f t="shared" si="4"/>
        <v>2.4500623485400996E-2</v>
      </c>
      <c r="AW13" s="24">
        <f t="shared" si="9"/>
        <v>2.4500946760432653E-2</v>
      </c>
      <c r="AX13" s="24">
        <f t="shared" si="10"/>
        <v>2.4501222601873245E-2</v>
      </c>
    </row>
    <row r="14" spans="1:50" x14ac:dyDescent="0.2">
      <c r="A14" s="44"/>
      <c r="B14" s="49">
        <v>9</v>
      </c>
      <c r="C14" s="54">
        <f t="shared" ref="C14:AF14" si="17">ROUND((C51+(C51*($F$2+$J$2)))*20,0)/20</f>
        <v>8119.55</v>
      </c>
      <c r="D14" s="54">
        <f t="shared" si="17"/>
        <v>8494.5</v>
      </c>
      <c r="E14" s="54">
        <f t="shared" si="17"/>
        <v>8869.4500000000007</v>
      </c>
      <c r="F14" s="54">
        <f t="shared" si="17"/>
        <v>9244.6</v>
      </c>
      <c r="G14" s="54">
        <f t="shared" si="17"/>
        <v>9600.4</v>
      </c>
      <c r="H14" s="54">
        <f t="shared" si="17"/>
        <v>9956.25</v>
      </c>
      <c r="I14" s="54">
        <f t="shared" si="17"/>
        <v>10312.299999999999</v>
      </c>
      <c r="J14" s="54">
        <f t="shared" si="17"/>
        <v>10668.1</v>
      </c>
      <c r="K14" s="54">
        <f t="shared" si="17"/>
        <v>10823.9</v>
      </c>
      <c r="L14" s="54">
        <f t="shared" si="17"/>
        <v>10979.55</v>
      </c>
      <c r="M14" s="54">
        <f t="shared" si="17"/>
        <v>11135.3</v>
      </c>
      <c r="N14" s="54">
        <f t="shared" si="17"/>
        <v>11291.05</v>
      </c>
      <c r="O14" s="54">
        <f t="shared" si="17"/>
        <v>11428.25</v>
      </c>
      <c r="P14" s="54">
        <f t="shared" si="17"/>
        <v>11565.3</v>
      </c>
      <c r="Q14" s="54">
        <f t="shared" si="17"/>
        <v>11702.45</v>
      </c>
      <c r="R14" s="54">
        <f t="shared" si="17"/>
        <v>11839.65</v>
      </c>
      <c r="S14" s="54">
        <f t="shared" si="17"/>
        <v>11976.7</v>
      </c>
      <c r="T14" s="54">
        <f t="shared" si="17"/>
        <v>12113.85</v>
      </c>
      <c r="U14" s="54">
        <f t="shared" si="17"/>
        <v>12250.85</v>
      </c>
      <c r="V14" s="54">
        <f t="shared" si="17"/>
        <v>12388.05</v>
      </c>
      <c r="W14" s="54">
        <f t="shared" si="17"/>
        <v>12388.05</v>
      </c>
      <c r="X14" s="54">
        <f t="shared" si="17"/>
        <v>12448.85</v>
      </c>
      <c r="Y14" s="54">
        <f t="shared" si="17"/>
        <v>12448.85</v>
      </c>
      <c r="Z14" s="54">
        <f t="shared" si="17"/>
        <v>12509.55</v>
      </c>
      <c r="AA14" s="54">
        <f t="shared" si="17"/>
        <v>12509.55</v>
      </c>
      <c r="AB14" s="54">
        <f t="shared" si="17"/>
        <v>12570.3</v>
      </c>
      <c r="AC14" s="54">
        <f t="shared" si="17"/>
        <v>12570.3</v>
      </c>
      <c r="AD14" s="54">
        <f t="shared" si="17"/>
        <v>12631.1</v>
      </c>
      <c r="AE14" s="54">
        <f t="shared" si="17"/>
        <v>12631.1</v>
      </c>
      <c r="AF14" s="54">
        <f t="shared" si="17"/>
        <v>12691.9</v>
      </c>
      <c r="AG14" s="44"/>
      <c r="AH14" s="49">
        <v>9</v>
      </c>
      <c r="AI14" s="55">
        <f t="shared" si="1"/>
        <v>8119.55</v>
      </c>
      <c r="AJ14" s="56">
        <f t="shared" si="2"/>
        <v>9244.6</v>
      </c>
      <c r="AK14" s="57">
        <f t="shared" si="6"/>
        <v>10106.424999999999</v>
      </c>
      <c r="AL14" s="58">
        <f t="shared" si="6"/>
        <v>10968.25</v>
      </c>
      <c r="AM14" s="59">
        <f t="shared" si="6"/>
        <v>11830.075000000001</v>
      </c>
      <c r="AO14" t="str">
        <f>IF('Berechnung Nettolohn'!$D$28=Lohntabelle24!AH14,IF(AND('Berechnung Nettolohn'!$D$4&lt;Lohntabelle24!AJ14,'Berechnung Nettolohn'!$D$4&gt;=Lohntabelle24!AI14),"Unterfunktionslohn",IF(AND('Berechnung Nettolohn'!$D$4&lt;Lohntabelle24!AK14,'Berechnung Nettolohn'!$D$4&gt;=Lohntabelle24!AJ14),"1. Quartil",IF(AND('Berechnung Nettolohn'!$D$4&lt;Lohntabelle24!AL14,'Berechnung Nettolohn'!$D$4&gt;=Lohntabelle24!AK14),"2. Quartil",IF(AND('Berechnung Nettolohn'!$D$4&lt;Lohntabelle24!AM14,'Berechnung Nettolohn'!$D$4&gt;=Lohntabelle24!AL14),"3. Quartil",IF(AND('Berechnung Nettolohn'!$D$4&gt;=Lohntabelle24!AM14,'Berechnung Nettolohn'!$D$4&lt;Lohntabelle24!AF14),"4. Quartil",IF('Berechnung Nettolohn'!$D$4=Lohntabelle24!AF14,"höchster Erfahrungswert","Lohnband prüfen")))))),"")</f>
        <v/>
      </c>
      <c r="AP14" t="e">
        <f>IF(#REF!=Lohntabelle24!AH14,IF(AND(#REF!&lt;Lohntabelle24!AJ14,#REF!&gt;=Lohntabelle24!AI14),"Unterfunktionslohn",IF(AND(#REF!&lt;Lohntabelle24!AK14,#REF!&gt;=Lohntabelle24!AJ14),"1. Quartil",IF(AND(#REF!&lt;Lohntabelle24!AL14,#REF!&gt;=Lohntabelle24!AK14),"2. Quartil",IF(AND(#REF!&lt;Lohntabelle24!AM14,#REF!&gt;=Lohntabelle24!AL14),"3. Quartil",IF(AND(#REF!&gt;=Lohntabelle24!AM14,#REF!&lt;Lohntabelle24!AF14),"4. Quartil",IF(#REF!=Lohntabelle24!AF14,"höchsten Erfahrungswert","Lohnband prüfen")))))),"")</f>
        <v>#REF!</v>
      </c>
      <c r="AT14" s="24">
        <f t="shared" si="7"/>
        <v>2.4497186261892213E-2</v>
      </c>
      <c r="AU14" s="24">
        <f t="shared" si="8"/>
        <v>2.4502687427273271E-2</v>
      </c>
      <c r="AV14" s="24">
        <f t="shared" si="4"/>
        <v>2.45014432738874E-2</v>
      </c>
      <c r="AW14" s="24">
        <f t="shared" si="9"/>
        <v>2.4500394640363465E-2</v>
      </c>
      <c r="AX14" s="24">
        <f t="shared" si="10"/>
        <v>2.4499498795159821E-2</v>
      </c>
    </row>
    <row r="15" spans="1:50" x14ac:dyDescent="0.2">
      <c r="A15" s="44"/>
      <c r="B15" s="49">
        <v>10</v>
      </c>
      <c r="C15" s="54">
        <f t="shared" ref="C15:AF15" si="18">ROUND((C52+(C52*($F$2+$J$2)))*20,0)/20</f>
        <v>7577.15</v>
      </c>
      <c r="D15" s="54">
        <f t="shared" si="18"/>
        <v>7926.5</v>
      </c>
      <c r="E15" s="54">
        <f t="shared" si="18"/>
        <v>8275.7999999999993</v>
      </c>
      <c r="F15" s="54">
        <f t="shared" si="18"/>
        <v>8625.1</v>
      </c>
      <c r="G15" s="54">
        <f t="shared" si="18"/>
        <v>8959</v>
      </c>
      <c r="H15" s="54">
        <f t="shared" si="18"/>
        <v>9292.9</v>
      </c>
      <c r="I15" s="54">
        <f t="shared" si="18"/>
        <v>9626.7000000000007</v>
      </c>
      <c r="J15" s="54">
        <f t="shared" si="18"/>
        <v>9960.65</v>
      </c>
      <c r="K15" s="54">
        <f t="shared" si="18"/>
        <v>10106.799999999999</v>
      </c>
      <c r="L15" s="54">
        <f t="shared" si="18"/>
        <v>10252.950000000001</v>
      </c>
      <c r="M15" s="54">
        <f t="shared" si="18"/>
        <v>10399</v>
      </c>
      <c r="N15" s="54">
        <f t="shared" si="18"/>
        <v>10545.25</v>
      </c>
      <c r="O15" s="54">
        <f t="shared" si="18"/>
        <v>10668</v>
      </c>
      <c r="P15" s="54">
        <f t="shared" si="18"/>
        <v>10790.9</v>
      </c>
      <c r="Q15" s="54">
        <f t="shared" si="18"/>
        <v>10913.7</v>
      </c>
      <c r="R15" s="54">
        <f t="shared" si="18"/>
        <v>11036.6</v>
      </c>
      <c r="S15" s="54">
        <f t="shared" si="18"/>
        <v>11159.45</v>
      </c>
      <c r="T15" s="54">
        <f t="shared" si="18"/>
        <v>11282.25</v>
      </c>
      <c r="U15" s="54">
        <f t="shared" si="18"/>
        <v>11405.1</v>
      </c>
      <c r="V15" s="54">
        <f t="shared" si="18"/>
        <v>11527.9</v>
      </c>
      <c r="W15" s="54">
        <f t="shared" si="18"/>
        <v>11527.9</v>
      </c>
      <c r="X15" s="54">
        <f t="shared" si="18"/>
        <v>11582.4</v>
      </c>
      <c r="Y15" s="54">
        <f t="shared" si="18"/>
        <v>11582.4</v>
      </c>
      <c r="Z15" s="54">
        <f t="shared" si="18"/>
        <v>11636.75</v>
      </c>
      <c r="AA15" s="54">
        <f t="shared" si="18"/>
        <v>11636.75</v>
      </c>
      <c r="AB15" s="54">
        <f t="shared" si="18"/>
        <v>11691.3</v>
      </c>
      <c r="AC15" s="54">
        <f t="shared" si="18"/>
        <v>11691.3</v>
      </c>
      <c r="AD15" s="54">
        <f t="shared" si="18"/>
        <v>11745.8</v>
      </c>
      <c r="AE15" s="54">
        <f t="shared" si="18"/>
        <v>11745.8</v>
      </c>
      <c r="AF15" s="54">
        <f t="shared" si="18"/>
        <v>11800</v>
      </c>
      <c r="AG15" s="44"/>
      <c r="AH15" s="49">
        <v>10</v>
      </c>
      <c r="AI15" s="55">
        <f t="shared" si="1"/>
        <v>7577.15</v>
      </c>
      <c r="AJ15" s="56">
        <f t="shared" si="2"/>
        <v>8625.1</v>
      </c>
      <c r="AK15" s="57">
        <f t="shared" si="6"/>
        <v>9418.8250000000007</v>
      </c>
      <c r="AL15" s="58">
        <f t="shared" si="6"/>
        <v>10212.550000000001</v>
      </c>
      <c r="AM15" s="59">
        <f t="shared" si="6"/>
        <v>11006.275000000001</v>
      </c>
      <c r="AO15" t="str">
        <f>IF('Berechnung Nettolohn'!$D$28=Lohntabelle24!AH15,IF(AND('Berechnung Nettolohn'!$D$4&lt;Lohntabelle24!AJ15,'Berechnung Nettolohn'!$D$4&gt;=Lohntabelle24!AI15),"Unterfunktionslohn",IF(AND('Berechnung Nettolohn'!$D$4&lt;Lohntabelle24!AK15,'Berechnung Nettolohn'!$D$4&gt;=Lohntabelle24!AJ15),"1. Quartil",IF(AND('Berechnung Nettolohn'!$D$4&lt;Lohntabelle24!AL15,'Berechnung Nettolohn'!$D$4&gt;=Lohntabelle24!AK15),"2. Quartil",IF(AND('Berechnung Nettolohn'!$D$4&lt;Lohntabelle24!AM15,'Berechnung Nettolohn'!$D$4&gt;=Lohntabelle24!AL15),"3. Quartil",IF(AND('Berechnung Nettolohn'!$D$4&gt;=Lohntabelle24!AM15,'Berechnung Nettolohn'!$D$4&lt;Lohntabelle24!AF15),"4. Quartil",IF('Berechnung Nettolohn'!$D$4=Lohntabelle24!AF15,"höchster Erfahrungswert","Lohnband prüfen")))))),"")</f>
        <v/>
      </c>
      <c r="AP15" t="e">
        <f>IF(#REF!=Lohntabelle24!AH15,IF(AND(#REF!&lt;Lohntabelle24!AJ15,#REF!&gt;=Lohntabelle24!AI15),"Unterfunktionslohn",IF(AND(#REF!&lt;Lohntabelle24!AK15,#REF!&gt;=Lohntabelle24!AJ15),"1. Quartil",IF(AND(#REF!&lt;Lohntabelle24!AL15,#REF!&gt;=Lohntabelle24!AK15),"2. Quartil",IF(AND(#REF!&lt;Lohntabelle24!AM15,#REF!&gt;=Lohntabelle24!AL15),"3. Quartil",IF(AND(#REF!&gt;=Lohntabelle24!AM15,#REF!&lt;Lohntabelle24!AF15),"4. Quartil",IF(#REF!=Lohntabelle24!AF15,"höchsten Erfahrungswert","Lohnband prüfen")))))),"")</f>
        <v>#REF!</v>
      </c>
      <c r="AT15" s="24">
        <f t="shared" si="7"/>
        <v>2.449989521292056E-2</v>
      </c>
      <c r="AU15" s="24">
        <f t="shared" si="8"/>
        <v>2.4498595413862938E-2</v>
      </c>
      <c r="AV15" s="24">
        <f t="shared" si="4"/>
        <v>2.4499413313899619E-2</v>
      </c>
      <c r="AW15" s="24">
        <f t="shared" si="9"/>
        <v>2.4500104079672583E-2</v>
      </c>
      <c r="AX15" s="24">
        <f t="shared" si="10"/>
        <v>2.4500695216099069E-2</v>
      </c>
    </row>
    <row r="16" spans="1:50" x14ac:dyDescent="0.2">
      <c r="A16" s="44"/>
      <c r="B16" s="49">
        <v>11</v>
      </c>
      <c r="C16" s="54">
        <f t="shared" ref="C16:AF16" si="19">ROUND((C53+(C53*($F$2+$J$2)))*20,0)/20</f>
        <v>7074.15</v>
      </c>
      <c r="D16" s="54">
        <f t="shared" si="19"/>
        <v>7399.65</v>
      </c>
      <c r="E16" s="54">
        <f t="shared" si="19"/>
        <v>7725</v>
      </c>
      <c r="F16" s="54">
        <f t="shared" si="19"/>
        <v>8050.5</v>
      </c>
      <c r="G16" s="54">
        <f t="shared" si="19"/>
        <v>8363.85</v>
      </c>
      <c r="H16" s="54">
        <f t="shared" si="19"/>
        <v>8677.0499999999993</v>
      </c>
      <c r="I16" s="54">
        <f t="shared" si="19"/>
        <v>8990.2999999999993</v>
      </c>
      <c r="J16" s="54">
        <f t="shared" si="19"/>
        <v>9303.6</v>
      </c>
      <c r="K16" s="54">
        <f t="shared" si="19"/>
        <v>9440.7000000000007</v>
      </c>
      <c r="L16" s="54">
        <f t="shared" si="19"/>
        <v>9577.9500000000007</v>
      </c>
      <c r="M16" s="54">
        <f t="shared" si="19"/>
        <v>9715.15</v>
      </c>
      <c r="N16" s="54">
        <f t="shared" si="19"/>
        <v>9852.1</v>
      </c>
      <c r="O16" s="54">
        <f t="shared" si="19"/>
        <v>9967</v>
      </c>
      <c r="P16" s="54">
        <f t="shared" si="19"/>
        <v>10081.65</v>
      </c>
      <c r="Q16" s="54">
        <f t="shared" si="19"/>
        <v>10196.5</v>
      </c>
      <c r="R16" s="54">
        <f t="shared" si="19"/>
        <v>10311.15</v>
      </c>
      <c r="S16" s="54">
        <f t="shared" si="19"/>
        <v>10425.799999999999</v>
      </c>
      <c r="T16" s="54">
        <f t="shared" si="19"/>
        <v>10540.6</v>
      </c>
      <c r="U16" s="54">
        <f t="shared" si="19"/>
        <v>10655.3</v>
      </c>
      <c r="V16" s="54">
        <f t="shared" si="19"/>
        <v>10770.05</v>
      </c>
      <c r="W16" s="54">
        <f t="shared" si="19"/>
        <v>10770.05</v>
      </c>
      <c r="X16" s="54">
        <f t="shared" si="19"/>
        <v>10819.9</v>
      </c>
      <c r="Y16" s="54">
        <f t="shared" si="19"/>
        <v>10819.9</v>
      </c>
      <c r="Z16" s="54">
        <f t="shared" si="19"/>
        <v>10869.85</v>
      </c>
      <c r="AA16" s="54">
        <f t="shared" si="19"/>
        <v>10869.85</v>
      </c>
      <c r="AB16" s="54">
        <f t="shared" si="19"/>
        <v>10919.75</v>
      </c>
      <c r="AC16" s="54">
        <f t="shared" si="19"/>
        <v>10919.75</v>
      </c>
      <c r="AD16" s="54">
        <f t="shared" si="19"/>
        <v>10969.4</v>
      </c>
      <c r="AE16" s="54">
        <f t="shared" si="19"/>
        <v>10969.4</v>
      </c>
      <c r="AF16" s="54">
        <f t="shared" si="19"/>
        <v>11019.3</v>
      </c>
      <c r="AG16" s="44"/>
      <c r="AH16" s="49">
        <v>11</v>
      </c>
      <c r="AI16" s="55">
        <f t="shared" si="1"/>
        <v>7074.15</v>
      </c>
      <c r="AJ16" s="56">
        <f t="shared" si="2"/>
        <v>8050.5</v>
      </c>
      <c r="AK16" s="57">
        <f t="shared" si="6"/>
        <v>8792.7000000000007</v>
      </c>
      <c r="AL16" s="58">
        <f t="shared" si="6"/>
        <v>9534.9000000000015</v>
      </c>
      <c r="AM16" s="59">
        <f t="shared" si="6"/>
        <v>10277.100000000002</v>
      </c>
      <c r="AO16" t="str">
        <f>IF('Berechnung Nettolohn'!$D$28=Lohntabelle24!AH16,IF(AND('Berechnung Nettolohn'!$D$4&lt;Lohntabelle24!AJ16,'Berechnung Nettolohn'!$D$4&gt;=Lohntabelle24!AI16),"Unterfunktionslohn",IF(AND('Berechnung Nettolohn'!$D$4&lt;Lohntabelle24!AK16,'Berechnung Nettolohn'!$D$4&gt;=Lohntabelle24!AJ16),"1. Quartil",IF(AND('Berechnung Nettolohn'!$D$4&lt;Lohntabelle24!AL16,'Berechnung Nettolohn'!$D$4&gt;=Lohntabelle24!AK16),"2. Quartil",IF(AND('Berechnung Nettolohn'!$D$4&lt;Lohntabelle24!AM16,'Berechnung Nettolohn'!$D$4&gt;=Lohntabelle24!AL16),"3. Quartil",IF(AND('Berechnung Nettolohn'!$D$4&gt;=Lohntabelle24!AM16,'Berechnung Nettolohn'!$D$4&lt;Lohntabelle24!AF16),"4. Quartil",IF('Berechnung Nettolohn'!$D$4=Lohntabelle24!AF16,"höchster Erfahrungswert","Lohnband prüfen")))))),"")</f>
        <v/>
      </c>
      <c r="AP16" t="e">
        <f>IF(#REF!=Lohntabelle24!AH16,IF(AND(#REF!&lt;Lohntabelle24!AJ16,#REF!&gt;=Lohntabelle24!AI16),"Unterfunktionslohn",IF(AND(#REF!&lt;Lohntabelle24!AK16,#REF!&gt;=Lohntabelle24!AJ16),"1. Quartil",IF(AND(#REF!&lt;Lohntabelle24!AL16,#REF!&gt;=Lohntabelle24!AK16),"2. Quartil",IF(AND(#REF!&lt;Lohntabelle24!AM16,#REF!&gt;=Lohntabelle24!AL16),"3. Quartil",IF(AND(#REF!&gt;=Lohntabelle24!AM16,#REF!&lt;Lohntabelle24!AF16),"4. Quartil",IF(#REF!=Lohntabelle24!AF16,"höchsten Erfahrungswert","Lohnband prüfen")))))),"")</f>
        <v>#REF!</v>
      </c>
      <c r="AT16" s="24">
        <f t="shared" si="7"/>
        <v>2.4496741491672649E-2</v>
      </c>
      <c r="AU16" s="24">
        <f t="shared" si="8"/>
        <v>2.4497327564265717E-2</v>
      </c>
      <c r="AV16" s="24">
        <f t="shared" si="4"/>
        <v>2.4497666750170403E-2</v>
      </c>
      <c r="AW16" s="24">
        <f t="shared" si="9"/>
        <v>2.4497953131547557E-2</v>
      </c>
      <c r="AX16" s="24">
        <f t="shared" si="10"/>
        <v>2.4498198148803496E-2</v>
      </c>
    </row>
    <row r="17" spans="1:50" x14ac:dyDescent="0.2">
      <c r="A17" s="44"/>
      <c r="B17" s="49">
        <v>12</v>
      </c>
      <c r="C17" s="54">
        <f t="shared" ref="C17:AF17" si="20">ROUND((C54+(C54*($F$2+$J$2)))*20,0)/20</f>
        <v>6610.45</v>
      </c>
      <c r="D17" s="54">
        <f t="shared" si="20"/>
        <v>6913.85</v>
      </c>
      <c r="E17" s="54">
        <f t="shared" si="20"/>
        <v>7217.1</v>
      </c>
      <c r="F17" s="54">
        <f t="shared" si="20"/>
        <v>7520.25</v>
      </c>
      <c r="G17" s="54">
        <f t="shared" si="20"/>
        <v>7812.85</v>
      </c>
      <c r="H17" s="54">
        <f t="shared" si="20"/>
        <v>8105.65</v>
      </c>
      <c r="I17" s="54">
        <f t="shared" si="20"/>
        <v>8398.2000000000007</v>
      </c>
      <c r="J17" s="54">
        <f t="shared" si="20"/>
        <v>8690.7999999999993</v>
      </c>
      <c r="K17" s="54">
        <f t="shared" si="20"/>
        <v>8818.9</v>
      </c>
      <c r="L17" s="54">
        <f t="shared" si="20"/>
        <v>8946.9</v>
      </c>
      <c r="M17" s="54">
        <f t="shared" si="20"/>
        <v>9075.0499999999993</v>
      </c>
      <c r="N17" s="54">
        <f t="shared" si="20"/>
        <v>9203.15</v>
      </c>
      <c r="O17" s="54">
        <f t="shared" si="20"/>
        <v>9311.0499999999993</v>
      </c>
      <c r="P17" s="54">
        <f t="shared" si="20"/>
        <v>9419</v>
      </c>
      <c r="Q17" s="54">
        <f t="shared" si="20"/>
        <v>9526.75</v>
      </c>
      <c r="R17" s="54">
        <f t="shared" si="20"/>
        <v>9634.75</v>
      </c>
      <c r="S17" s="54">
        <f t="shared" si="20"/>
        <v>9742.7000000000007</v>
      </c>
      <c r="T17" s="54">
        <f t="shared" si="20"/>
        <v>9850.5</v>
      </c>
      <c r="U17" s="54">
        <f t="shared" si="20"/>
        <v>9958.4500000000007</v>
      </c>
      <c r="V17" s="54">
        <f t="shared" si="20"/>
        <v>10066.35</v>
      </c>
      <c r="W17" s="54">
        <f t="shared" si="20"/>
        <v>10066.35</v>
      </c>
      <c r="X17" s="54">
        <f t="shared" si="20"/>
        <v>10112.15</v>
      </c>
      <c r="Y17" s="54">
        <f t="shared" si="20"/>
        <v>10112.15</v>
      </c>
      <c r="Z17" s="54">
        <f t="shared" si="20"/>
        <v>10157.9</v>
      </c>
      <c r="AA17" s="54">
        <f t="shared" si="20"/>
        <v>10157.9</v>
      </c>
      <c r="AB17" s="54">
        <f t="shared" si="20"/>
        <v>10203.700000000001</v>
      </c>
      <c r="AC17" s="54">
        <f t="shared" si="20"/>
        <v>10203.700000000001</v>
      </c>
      <c r="AD17" s="54">
        <f t="shared" si="20"/>
        <v>10249.5</v>
      </c>
      <c r="AE17" s="54">
        <f t="shared" si="20"/>
        <v>10249.5</v>
      </c>
      <c r="AF17" s="54">
        <f t="shared" si="20"/>
        <v>10295.35</v>
      </c>
      <c r="AG17" s="44"/>
      <c r="AH17" s="49">
        <v>12</v>
      </c>
      <c r="AI17" s="55">
        <f t="shared" si="1"/>
        <v>6610.45</v>
      </c>
      <c r="AJ17" s="56">
        <f t="shared" si="2"/>
        <v>7520.25</v>
      </c>
      <c r="AK17" s="57">
        <f t="shared" si="6"/>
        <v>8214.0249999999996</v>
      </c>
      <c r="AL17" s="58">
        <f t="shared" si="6"/>
        <v>8907.7999999999993</v>
      </c>
      <c r="AM17" s="59">
        <f t="shared" si="6"/>
        <v>9601.5749999999989</v>
      </c>
      <c r="AO17" t="str">
        <f>IF('Berechnung Nettolohn'!$D$28=Lohntabelle24!AH17,IF(AND('Berechnung Nettolohn'!$D$4&lt;Lohntabelle24!AJ17,'Berechnung Nettolohn'!$D$4&gt;=Lohntabelle24!AI17),"Unterfunktionslohn",IF(AND('Berechnung Nettolohn'!$D$4&lt;Lohntabelle24!AK17,'Berechnung Nettolohn'!$D$4&gt;=Lohntabelle24!AJ17),"1. Quartil",IF(AND('Berechnung Nettolohn'!$D$4&lt;Lohntabelle24!AL17,'Berechnung Nettolohn'!$D$4&gt;=Lohntabelle24!AK17),"2. Quartil",IF(AND('Berechnung Nettolohn'!$D$4&lt;Lohntabelle24!AM17,'Berechnung Nettolohn'!$D$4&gt;=Lohntabelle24!AL17),"3. Quartil",IF(AND('Berechnung Nettolohn'!$D$4&gt;=Lohntabelle24!AM17,'Berechnung Nettolohn'!$D$4&lt;Lohntabelle24!AF17),"4. Quartil",IF('Berechnung Nettolohn'!$D$4=Lohntabelle24!AF17,"höchster Erfahrungswert","Lohnband prüfen")))))),"")</f>
        <v/>
      </c>
      <c r="AP17" t="e">
        <f>IF(#REF!=Lohntabelle24!AH17,IF(AND(#REF!&lt;Lohntabelle24!AJ17,#REF!&gt;=Lohntabelle24!AI17),"Unterfunktionslohn",IF(AND(#REF!&lt;Lohntabelle24!AK17,#REF!&gt;=Lohntabelle24!AJ17),"1. Quartil",IF(AND(#REF!&lt;Lohntabelle24!AL17,#REF!&gt;=Lohntabelle24!AK17),"2. Quartil",IF(AND(#REF!&lt;Lohntabelle24!AM17,#REF!&gt;=Lohntabelle24!AL17),"3. Quartil",IF(AND(#REF!&gt;=Lohntabelle24!AM17,#REF!&lt;Lohntabelle24!AF17),"4. Quartil",IF(#REF!=Lohntabelle24!AF17,"höchsten Erfahrungswert","Lohnband prüfen")))))),"")</f>
        <v>#REF!</v>
      </c>
      <c r="AT17" s="24">
        <f t="shared" si="7"/>
        <v>2.4502700566460197E-2</v>
      </c>
      <c r="AU17" s="24">
        <f t="shared" si="8"/>
        <v>2.4501389570050731E-2</v>
      </c>
      <c r="AV17" s="24">
        <f t="shared" si="4"/>
        <v>2.4500823969803884E-2</v>
      </c>
      <c r="AW17" s="24">
        <f t="shared" si="9"/>
        <v>2.4500346472450366E-2</v>
      </c>
      <c r="AX17" s="24">
        <f t="shared" si="10"/>
        <v>2.4499937979905413E-2</v>
      </c>
    </row>
    <row r="18" spans="1:50" x14ac:dyDescent="0.2">
      <c r="A18" s="44"/>
      <c r="B18" s="49">
        <v>13</v>
      </c>
      <c r="C18" s="54">
        <f t="shared" ref="C18:AF18" si="21">ROUND((C55+(C55*($F$2+$J$2)))*20,0)/20</f>
        <v>6183.05</v>
      </c>
      <c r="D18" s="54">
        <f t="shared" si="21"/>
        <v>6466.05</v>
      </c>
      <c r="E18" s="54">
        <f t="shared" si="21"/>
        <v>6749.05</v>
      </c>
      <c r="F18" s="54">
        <f t="shared" si="21"/>
        <v>7032</v>
      </c>
      <c r="G18" s="54">
        <f t="shared" si="21"/>
        <v>7305.1</v>
      </c>
      <c r="H18" s="54">
        <f t="shared" si="21"/>
        <v>7578.1</v>
      </c>
      <c r="I18" s="54">
        <f t="shared" si="21"/>
        <v>7851.15</v>
      </c>
      <c r="J18" s="54">
        <f t="shared" si="21"/>
        <v>8124.3</v>
      </c>
      <c r="K18" s="54">
        <f t="shared" si="21"/>
        <v>8243.9</v>
      </c>
      <c r="L18" s="54">
        <f t="shared" si="21"/>
        <v>8363.5</v>
      </c>
      <c r="M18" s="54">
        <f t="shared" si="21"/>
        <v>8482.9</v>
      </c>
      <c r="N18" s="54">
        <f t="shared" si="21"/>
        <v>8602.5499999999993</v>
      </c>
      <c r="O18" s="54">
        <f t="shared" si="21"/>
        <v>8702.5499999999993</v>
      </c>
      <c r="P18" s="54">
        <f t="shared" si="21"/>
        <v>8802.6</v>
      </c>
      <c r="Q18" s="54">
        <f t="shared" si="21"/>
        <v>8902.7000000000007</v>
      </c>
      <c r="R18" s="54">
        <f t="shared" si="21"/>
        <v>9002.7000000000007</v>
      </c>
      <c r="S18" s="54">
        <f t="shared" si="21"/>
        <v>9102.85</v>
      </c>
      <c r="T18" s="54">
        <f t="shared" si="21"/>
        <v>9202.7999999999993</v>
      </c>
      <c r="U18" s="54">
        <f t="shared" si="21"/>
        <v>9302.9500000000007</v>
      </c>
      <c r="V18" s="54">
        <f t="shared" si="21"/>
        <v>9402.7999999999993</v>
      </c>
      <c r="W18" s="54">
        <f t="shared" si="21"/>
        <v>9402.7999999999993</v>
      </c>
      <c r="X18" s="54">
        <f t="shared" si="21"/>
        <v>9446.85</v>
      </c>
      <c r="Y18" s="54">
        <f t="shared" si="21"/>
        <v>9446.85</v>
      </c>
      <c r="Z18" s="54">
        <f t="shared" si="21"/>
        <v>9490.9</v>
      </c>
      <c r="AA18" s="54">
        <f t="shared" si="21"/>
        <v>9490.9</v>
      </c>
      <c r="AB18" s="54">
        <f t="shared" si="21"/>
        <v>9534.7999999999993</v>
      </c>
      <c r="AC18" s="54">
        <f t="shared" si="21"/>
        <v>9534.7999999999993</v>
      </c>
      <c r="AD18" s="54">
        <f t="shared" si="21"/>
        <v>9578.9500000000007</v>
      </c>
      <c r="AE18" s="54">
        <f t="shared" si="21"/>
        <v>9578.9500000000007</v>
      </c>
      <c r="AF18" s="54">
        <f t="shared" si="21"/>
        <v>9622.9</v>
      </c>
      <c r="AG18" s="44"/>
      <c r="AH18" s="49">
        <v>13</v>
      </c>
      <c r="AI18" s="55">
        <f t="shared" si="1"/>
        <v>6183.05</v>
      </c>
      <c r="AJ18" s="56">
        <f t="shared" si="2"/>
        <v>7032</v>
      </c>
      <c r="AK18" s="57">
        <f t="shared" si="6"/>
        <v>7679.7250000000004</v>
      </c>
      <c r="AL18" s="58">
        <f t="shared" si="6"/>
        <v>8327.4500000000007</v>
      </c>
      <c r="AM18" s="59">
        <f t="shared" si="6"/>
        <v>8975.1750000000011</v>
      </c>
      <c r="AO18" t="str">
        <f>IF('Berechnung Nettolohn'!$D$28=Lohntabelle24!AH18,IF(AND('Berechnung Nettolohn'!$D$4&lt;Lohntabelle24!AJ18,'Berechnung Nettolohn'!$D$4&gt;=Lohntabelle24!AI18),"Unterfunktionslohn",IF(AND('Berechnung Nettolohn'!$D$4&lt;Lohntabelle24!AK18,'Berechnung Nettolohn'!$D$4&gt;=Lohntabelle24!AJ18),"1. Quartil",IF(AND('Berechnung Nettolohn'!$D$4&lt;Lohntabelle24!AL18,'Berechnung Nettolohn'!$D$4&gt;=Lohntabelle24!AK18),"2. Quartil",IF(AND('Berechnung Nettolohn'!$D$4&lt;Lohntabelle24!AM18,'Berechnung Nettolohn'!$D$4&gt;=Lohntabelle24!AL18),"3. Quartil",IF(AND('Berechnung Nettolohn'!$D$4&gt;=Lohntabelle24!AM18,'Berechnung Nettolohn'!$D$4&lt;Lohntabelle24!AF18),"4. Quartil",IF('Berechnung Nettolohn'!$D$4=Lohntabelle24!AF18,"höchster Erfahrungswert","Lohnband prüfen")))))),"")</f>
        <v/>
      </c>
      <c r="AP18" t="e">
        <f>IF(#REF!=Lohntabelle24!AH18,IF(AND(#REF!&lt;Lohntabelle24!AJ18,#REF!&gt;=Lohntabelle24!AI18),"Unterfunktionslohn",IF(AND(#REF!&lt;Lohntabelle24!AK18,#REF!&gt;=Lohntabelle24!AJ18),"1. Quartil",IF(AND(#REF!&lt;Lohntabelle24!AL18,#REF!&gt;=Lohntabelle24!AK18),"2. Quartil",IF(AND(#REF!&lt;Lohntabelle24!AM18,#REF!&gt;=Lohntabelle24!AL18),"3. Quartil",IF(AND(#REF!&gt;=Lohntabelle24!AM18,#REF!&lt;Lohntabelle24!AF18),"4. Quartil",IF(#REF!=Lohntabelle24!AF18,"höchsten Erfahrungswert","Lohnband prüfen")))))),"")</f>
        <v>#REF!</v>
      </c>
      <c r="AT18" s="24">
        <f t="shared" si="7"/>
        <v>2.4497945387062629E-2</v>
      </c>
      <c r="AU18" s="24">
        <f t="shared" si="8"/>
        <v>2.4497912978867491E-2</v>
      </c>
      <c r="AV18" s="24">
        <f t="shared" si="4"/>
        <v>2.4497779675063922E-2</v>
      </c>
      <c r="AW18" s="24">
        <f t="shared" si="9"/>
        <v>2.449766710853735E-2</v>
      </c>
      <c r="AX18" s="24">
        <f t="shared" si="10"/>
        <v>2.449757078954724E-2</v>
      </c>
    </row>
    <row r="19" spans="1:50" x14ac:dyDescent="0.2">
      <c r="A19" s="44"/>
      <c r="B19" s="49">
        <v>14</v>
      </c>
      <c r="C19" s="54">
        <f t="shared" ref="C19:AF19" si="22">ROUND((C56+(C56*($F$2+$J$2)))*20,0)/20</f>
        <v>5797.85</v>
      </c>
      <c r="D19" s="54">
        <f t="shared" si="22"/>
        <v>6062.4</v>
      </c>
      <c r="E19" s="54">
        <f t="shared" si="22"/>
        <v>6326.7</v>
      </c>
      <c r="F19" s="54">
        <f t="shared" si="22"/>
        <v>6591.25</v>
      </c>
      <c r="G19" s="54">
        <f t="shared" si="22"/>
        <v>6846.6</v>
      </c>
      <c r="H19" s="54">
        <f t="shared" si="22"/>
        <v>7101.8</v>
      </c>
      <c r="I19" s="54">
        <f t="shared" si="22"/>
        <v>7357.15</v>
      </c>
      <c r="J19" s="54">
        <f t="shared" si="22"/>
        <v>7612.3</v>
      </c>
      <c r="K19" s="54">
        <f t="shared" si="22"/>
        <v>7724.05</v>
      </c>
      <c r="L19" s="54">
        <f t="shared" si="22"/>
        <v>7835.7</v>
      </c>
      <c r="M19" s="54">
        <f t="shared" si="22"/>
        <v>7947.6</v>
      </c>
      <c r="N19" s="54">
        <f t="shared" si="22"/>
        <v>8059.5</v>
      </c>
      <c r="O19" s="54">
        <f t="shared" si="22"/>
        <v>8150.5</v>
      </c>
      <c r="P19" s="54">
        <f t="shared" si="22"/>
        <v>8241.75</v>
      </c>
      <c r="Q19" s="54">
        <f t="shared" si="22"/>
        <v>8332.85</v>
      </c>
      <c r="R19" s="54">
        <f t="shared" si="22"/>
        <v>8424</v>
      </c>
      <c r="S19" s="54">
        <f t="shared" si="22"/>
        <v>8515.2999999999993</v>
      </c>
      <c r="T19" s="54">
        <f t="shared" si="22"/>
        <v>8606.4</v>
      </c>
      <c r="U19" s="54">
        <f t="shared" si="22"/>
        <v>8697.5499999999993</v>
      </c>
      <c r="V19" s="54">
        <f t="shared" si="22"/>
        <v>8788.6</v>
      </c>
      <c r="W19" s="54">
        <f t="shared" si="22"/>
        <v>8788.6</v>
      </c>
      <c r="X19" s="54">
        <f t="shared" si="22"/>
        <v>8829.85</v>
      </c>
      <c r="Y19" s="54">
        <f t="shared" si="22"/>
        <v>8829.85</v>
      </c>
      <c r="Z19" s="54">
        <f t="shared" si="22"/>
        <v>8870.9500000000007</v>
      </c>
      <c r="AA19" s="54">
        <f t="shared" si="22"/>
        <v>8870.9500000000007</v>
      </c>
      <c r="AB19" s="54">
        <f t="shared" si="22"/>
        <v>8912.2000000000007</v>
      </c>
      <c r="AC19" s="54">
        <f t="shared" si="22"/>
        <v>8912.2000000000007</v>
      </c>
      <c r="AD19" s="54">
        <f t="shared" si="22"/>
        <v>8953.4</v>
      </c>
      <c r="AE19" s="54">
        <f t="shared" si="22"/>
        <v>8953.4</v>
      </c>
      <c r="AF19" s="54">
        <f t="shared" si="22"/>
        <v>8994.6</v>
      </c>
      <c r="AG19" s="44"/>
      <c r="AH19" s="49">
        <v>14</v>
      </c>
      <c r="AI19" s="55">
        <f t="shared" si="1"/>
        <v>5797.85</v>
      </c>
      <c r="AJ19" s="56">
        <f t="shared" si="2"/>
        <v>6591.25</v>
      </c>
      <c r="AK19" s="57">
        <f t="shared" si="6"/>
        <v>7192.0874999999996</v>
      </c>
      <c r="AL19" s="58">
        <f t="shared" si="6"/>
        <v>7792.9249999999993</v>
      </c>
      <c r="AM19" s="59">
        <f t="shared" si="6"/>
        <v>8393.7624999999989</v>
      </c>
      <c r="AO19" t="str">
        <f>IF('Berechnung Nettolohn'!$D$28=Lohntabelle24!AH19,IF(AND('Berechnung Nettolohn'!$D$4&lt;Lohntabelle24!AJ19,'Berechnung Nettolohn'!$D$4&gt;=Lohntabelle24!AI19),"Unterfunktionslohn",IF(AND('Berechnung Nettolohn'!$D$4&lt;Lohntabelle24!AK19,'Berechnung Nettolohn'!$D$4&gt;=Lohntabelle24!AJ19),"1. Quartil",IF(AND('Berechnung Nettolohn'!$D$4&lt;Lohntabelle24!AL19,'Berechnung Nettolohn'!$D$4&gt;=Lohntabelle24!AK19),"2. Quartil",IF(AND('Berechnung Nettolohn'!$D$4&lt;Lohntabelle24!AM19,'Berechnung Nettolohn'!$D$4&gt;=Lohntabelle24!AL19),"3. Quartil",IF(AND('Berechnung Nettolohn'!$D$4&gt;=Lohntabelle24!AM19,'Berechnung Nettolohn'!$D$4&lt;Lohntabelle24!AF19),"4. Quartil",IF('Berechnung Nettolohn'!$D$4=Lohntabelle24!AF19,"höchster Erfahrungswert","Lohnband prüfen")))))),"")</f>
        <v/>
      </c>
      <c r="AP19" t="e">
        <f>IF(#REF!=Lohntabelle24!AH19,IF(AND(#REF!&lt;Lohntabelle24!AJ19,#REF!&gt;=Lohntabelle24!AI19),"Unterfunktionslohn",IF(AND(#REF!&lt;Lohntabelle24!AK19,#REF!&gt;=Lohntabelle24!AJ19),"1. Quartil",IF(AND(#REF!&lt;Lohntabelle24!AL19,#REF!&gt;=Lohntabelle24!AK19),"2. Quartil",IF(AND(#REF!&lt;Lohntabelle24!AM19,#REF!&gt;=Lohntabelle24!AL19),"3. Quartil",IF(AND(#REF!&gt;=Lohntabelle24!AM19,#REF!&lt;Lohntabelle24!AF19),"4. Quartil",IF(#REF!=Lohntabelle24!AF19,"höchsten Erfahrungswert","Lohnband prüfen")))))),"")</f>
        <v>#REF!</v>
      </c>
      <c r="AT19" s="24">
        <f t="shared" si="7"/>
        <v>2.4499929318631705E-2</v>
      </c>
      <c r="AU19" s="24">
        <f t="shared" si="8"/>
        <v>2.4496203554747364E-2</v>
      </c>
      <c r="AV19" s="24">
        <f t="shared" si="4"/>
        <v>2.4497470660192467E-2</v>
      </c>
      <c r="AW19" s="24">
        <f t="shared" si="9"/>
        <v>2.4498542379454667E-2</v>
      </c>
      <c r="AX19" s="24">
        <f t="shared" si="10"/>
        <v>2.4499460670111713E-2</v>
      </c>
    </row>
    <row r="20" spans="1:50" x14ac:dyDescent="0.2">
      <c r="A20" s="44"/>
      <c r="B20" s="49">
        <v>15</v>
      </c>
      <c r="C20" s="54">
        <f t="shared" ref="C20:AF20" si="23">ROUND((C57+(C57*($F$2+$J$2)))*20,0)/20</f>
        <v>5448.7</v>
      </c>
      <c r="D20" s="54">
        <f t="shared" si="23"/>
        <v>5696.55</v>
      </c>
      <c r="E20" s="54">
        <f t="shared" si="23"/>
        <v>5944.3</v>
      </c>
      <c r="F20" s="54">
        <f t="shared" si="23"/>
        <v>6192.2</v>
      </c>
      <c r="G20" s="54">
        <f t="shared" si="23"/>
        <v>6431.35</v>
      </c>
      <c r="H20" s="54">
        <f t="shared" si="23"/>
        <v>6670.6</v>
      </c>
      <c r="I20" s="54">
        <f t="shared" si="23"/>
        <v>6909.8</v>
      </c>
      <c r="J20" s="54">
        <f t="shared" si="23"/>
        <v>7149.05</v>
      </c>
      <c r="K20" s="54">
        <f t="shared" si="23"/>
        <v>7253.75</v>
      </c>
      <c r="L20" s="54">
        <f t="shared" si="23"/>
        <v>7358.45</v>
      </c>
      <c r="M20" s="54">
        <f t="shared" si="23"/>
        <v>7463.2</v>
      </c>
      <c r="N20" s="54">
        <f t="shared" si="23"/>
        <v>7567.9</v>
      </c>
      <c r="O20" s="54">
        <f t="shared" si="23"/>
        <v>7650.95</v>
      </c>
      <c r="P20" s="54">
        <f t="shared" si="23"/>
        <v>7734.15</v>
      </c>
      <c r="Q20" s="54">
        <f t="shared" si="23"/>
        <v>7817.25</v>
      </c>
      <c r="R20" s="54">
        <f t="shared" si="23"/>
        <v>7900.35</v>
      </c>
      <c r="S20" s="54">
        <f t="shared" si="23"/>
        <v>7983.4</v>
      </c>
      <c r="T20" s="54">
        <f t="shared" si="23"/>
        <v>8066.5</v>
      </c>
      <c r="U20" s="54">
        <f t="shared" si="23"/>
        <v>8149.65</v>
      </c>
      <c r="V20" s="54">
        <f t="shared" si="23"/>
        <v>8232.85</v>
      </c>
      <c r="W20" s="54">
        <f t="shared" si="23"/>
        <v>8232.85</v>
      </c>
      <c r="X20" s="54">
        <f t="shared" si="23"/>
        <v>8271.5</v>
      </c>
      <c r="Y20" s="54">
        <f t="shared" si="23"/>
        <v>8271.5</v>
      </c>
      <c r="Z20" s="54">
        <f t="shared" si="23"/>
        <v>8310.2000000000007</v>
      </c>
      <c r="AA20" s="54">
        <f t="shared" si="23"/>
        <v>8310.2000000000007</v>
      </c>
      <c r="AB20" s="54">
        <f t="shared" si="23"/>
        <v>8348.7000000000007</v>
      </c>
      <c r="AC20" s="54">
        <f t="shared" si="23"/>
        <v>8348.7000000000007</v>
      </c>
      <c r="AD20" s="54">
        <f t="shared" si="23"/>
        <v>8387.35</v>
      </c>
      <c r="AE20" s="54">
        <f t="shared" si="23"/>
        <v>8387.35</v>
      </c>
      <c r="AF20" s="54">
        <f t="shared" si="23"/>
        <v>8426.0499999999993</v>
      </c>
      <c r="AG20" s="44"/>
      <c r="AH20" s="49">
        <v>15</v>
      </c>
      <c r="AI20" s="55">
        <f t="shared" si="1"/>
        <v>5448.7</v>
      </c>
      <c r="AJ20" s="56">
        <f t="shared" si="2"/>
        <v>6192.2</v>
      </c>
      <c r="AK20" s="57">
        <f t="shared" si="6"/>
        <v>6750.6624999999995</v>
      </c>
      <c r="AL20" s="58">
        <f t="shared" si="6"/>
        <v>7309.1249999999991</v>
      </c>
      <c r="AM20" s="59">
        <f t="shared" si="6"/>
        <v>7867.5874999999987</v>
      </c>
      <c r="AO20" t="str">
        <f>IF('Berechnung Nettolohn'!$D$28=Lohntabelle24!AH20,IF(AND('Berechnung Nettolohn'!$D$4&lt;Lohntabelle24!AJ20,'Berechnung Nettolohn'!$D$4&gt;=Lohntabelle24!AI20),"Unterfunktionslohn",IF(AND('Berechnung Nettolohn'!$D$4&lt;Lohntabelle24!AK20,'Berechnung Nettolohn'!$D$4&gt;=Lohntabelle24!AJ20),"1. Quartil",IF(AND('Berechnung Nettolohn'!$D$4&lt;Lohntabelle24!AL20,'Berechnung Nettolohn'!$D$4&gt;=Lohntabelle24!AK20),"2. Quartil",IF(AND('Berechnung Nettolohn'!$D$4&lt;Lohntabelle24!AM20,'Berechnung Nettolohn'!$D$4&gt;=Lohntabelle24!AL20),"3. Quartil",IF(AND('Berechnung Nettolohn'!$D$4&gt;=Lohntabelle24!AM20,'Berechnung Nettolohn'!$D$4&lt;Lohntabelle24!AF20),"4. Quartil",IF('Berechnung Nettolohn'!$D$4=Lohntabelle24!AF20,"höchster Erfahrungswert","Lohnband prüfen")))))),"")</f>
        <v/>
      </c>
      <c r="AP20" t="e">
        <f>IF(#REF!=Lohntabelle24!AH20,IF(AND(#REF!&lt;Lohntabelle24!AJ20,#REF!&gt;=Lohntabelle24!AI20),"Unterfunktionslohn",IF(AND(#REF!&lt;Lohntabelle24!AK20,#REF!&gt;=Lohntabelle24!AJ20),"1. Quartil",IF(AND(#REF!&lt;Lohntabelle24!AL20,#REF!&gt;=Lohntabelle24!AK20),"2. Quartil",IF(AND(#REF!&lt;Lohntabelle24!AM20,#REF!&gt;=Lohntabelle24!AL20),"3. Quartil",IF(AND(#REF!&gt;=Lohntabelle24!AM20,#REF!&lt;Lohntabelle24!AF20),"4. Quartil",IF(#REF!=Lohntabelle24!AF20,"höchsten Erfahrungswert","Lohnband prüfen")))))),"")</f>
        <v>#REF!</v>
      </c>
      <c r="AT20" s="24">
        <f t="shared" si="7"/>
        <v>2.4499849578820735E-2</v>
      </c>
      <c r="AU20" s="24">
        <f t="shared" si="8"/>
        <v>2.4503234559322223E-2</v>
      </c>
      <c r="AV20" s="24">
        <f t="shared" si="4"/>
        <v>2.4502169265295335E-2</v>
      </c>
      <c r="AW20" s="24">
        <f t="shared" si="9"/>
        <v>2.4501266763148611E-2</v>
      </c>
      <c r="AX20" s="24">
        <f t="shared" si="10"/>
        <v>2.4500492386323944E-2</v>
      </c>
    </row>
    <row r="21" spans="1:50" x14ac:dyDescent="0.2">
      <c r="A21" s="44"/>
      <c r="B21" s="49">
        <v>16</v>
      </c>
      <c r="C21" s="54">
        <f t="shared" ref="C21:AF21" si="24">ROUND((C58+(C58*($F$2+$J$2)))*20,0)/20</f>
        <v>5138.55</v>
      </c>
      <c r="D21" s="54">
        <f t="shared" si="24"/>
        <v>5371.55</v>
      </c>
      <c r="E21" s="54">
        <f t="shared" si="24"/>
        <v>5604.8</v>
      </c>
      <c r="F21" s="54">
        <f t="shared" si="24"/>
        <v>5837.85</v>
      </c>
      <c r="G21" s="54">
        <f t="shared" si="24"/>
        <v>6062.9</v>
      </c>
      <c r="H21" s="54">
        <f t="shared" si="24"/>
        <v>6287.9</v>
      </c>
      <c r="I21" s="54">
        <f t="shared" si="24"/>
        <v>6512.95</v>
      </c>
      <c r="J21" s="54">
        <f t="shared" si="24"/>
        <v>6737.9</v>
      </c>
      <c r="K21" s="54">
        <f t="shared" si="24"/>
        <v>6836.4</v>
      </c>
      <c r="L21" s="54">
        <f t="shared" si="24"/>
        <v>6935</v>
      </c>
      <c r="M21" s="54">
        <f t="shared" si="24"/>
        <v>7033.4</v>
      </c>
      <c r="N21" s="54">
        <f t="shared" si="24"/>
        <v>7131.95</v>
      </c>
      <c r="O21" s="54">
        <f t="shared" si="24"/>
        <v>7206.65</v>
      </c>
      <c r="P21" s="54">
        <f t="shared" si="24"/>
        <v>7281.4</v>
      </c>
      <c r="Q21" s="54">
        <f t="shared" si="24"/>
        <v>7356.25</v>
      </c>
      <c r="R21" s="54">
        <f t="shared" si="24"/>
        <v>7430.95</v>
      </c>
      <c r="S21" s="54">
        <f t="shared" si="24"/>
        <v>7505.7</v>
      </c>
      <c r="T21" s="54">
        <f t="shared" si="24"/>
        <v>7580.6</v>
      </c>
      <c r="U21" s="54">
        <f t="shared" si="24"/>
        <v>7655.3</v>
      </c>
      <c r="V21" s="54">
        <f t="shared" si="24"/>
        <v>7730</v>
      </c>
      <c r="W21" s="54">
        <f t="shared" si="24"/>
        <v>7730</v>
      </c>
      <c r="X21" s="54">
        <f t="shared" si="24"/>
        <v>7766.55</v>
      </c>
      <c r="Y21" s="54">
        <f t="shared" si="24"/>
        <v>7766.55</v>
      </c>
      <c r="Z21" s="54">
        <f t="shared" si="24"/>
        <v>7803</v>
      </c>
      <c r="AA21" s="54">
        <f t="shared" si="24"/>
        <v>7803</v>
      </c>
      <c r="AB21" s="54">
        <f t="shared" si="24"/>
        <v>7839.35</v>
      </c>
      <c r="AC21" s="54">
        <f t="shared" si="24"/>
        <v>7839.35</v>
      </c>
      <c r="AD21" s="54">
        <f t="shared" si="24"/>
        <v>7875.85</v>
      </c>
      <c r="AE21" s="54">
        <f t="shared" si="24"/>
        <v>7875.85</v>
      </c>
      <c r="AF21" s="54">
        <f t="shared" si="24"/>
        <v>7912.25</v>
      </c>
      <c r="AG21" s="44"/>
      <c r="AH21" s="49">
        <v>16</v>
      </c>
      <c r="AI21" s="55">
        <f t="shared" si="1"/>
        <v>5138.55</v>
      </c>
      <c r="AJ21" s="56">
        <f t="shared" si="2"/>
        <v>5837.85</v>
      </c>
      <c r="AK21" s="57">
        <f t="shared" si="6"/>
        <v>6356.4500000000007</v>
      </c>
      <c r="AL21" s="58">
        <f t="shared" si="6"/>
        <v>6875.0500000000011</v>
      </c>
      <c r="AM21" s="59">
        <f t="shared" si="6"/>
        <v>7393.6500000000015</v>
      </c>
      <c r="AO21" t="str">
        <f>IF('Berechnung Nettolohn'!$D$28=Lohntabelle24!AH21,IF(AND('Berechnung Nettolohn'!$D$4&lt;Lohntabelle24!AJ21,'Berechnung Nettolohn'!$D$4&gt;=Lohntabelle24!AI21),"Unterfunktionslohn",IF(AND('Berechnung Nettolohn'!$D$4&lt;Lohntabelle24!AK21,'Berechnung Nettolohn'!$D$4&gt;=Lohntabelle24!AJ21),"1. Quartil",IF(AND('Berechnung Nettolohn'!$D$4&lt;Lohntabelle24!AL21,'Berechnung Nettolohn'!$D$4&gt;=Lohntabelle24!AK21),"2. Quartil",IF(AND('Berechnung Nettolohn'!$D$4&lt;Lohntabelle24!AM21,'Berechnung Nettolohn'!$D$4&gt;=Lohntabelle24!AL21),"3. Quartil",IF(AND('Berechnung Nettolohn'!$D$4&gt;=Lohntabelle24!AM21,'Berechnung Nettolohn'!$D$4&lt;Lohntabelle24!AF21),"4. Quartil",IF('Berechnung Nettolohn'!$D$4=Lohntabelle24!AF21,"höchster Erfahrungswert","Lohnband prüfen")))))),"")</f>
        <v/>
      </c>
      <c r="AP21" t="e">
        <f>IF(#REF!=Lohntabelle24!AH21,IF(AND(#REF!&lt;Lohntabelle24!AJ21,#REF!&gt;=Lohntabelle24!AI21),"Unterfunktionslohn",IF(AND(#REF!&lt;Lohntabelle24!AK21,#REF!&gt;=Lohntabelle24!AJ21),"1. Quartil",IF(AND(#REF!&lt;Lohntabelle24!AL21,#REF!&gt;=Lohntabelle24!AK21),"2. Quartil",IF(AND(#REF!&lt;Lohntabelle24!AM21,#REF!&gt;=Lohntabelle24!AL21),"3. Quartil",IF(AND(#REF!&gt;=Lohntabelle24!AM21,#REF!&lt;Lohntabelle24!AF21),"4. Quartil",IF(#REF!=Lohntabelle24!AF21,"höchsten Erfahrungswert","Lohnband prüfen")))))),"")</f>
        <v>#REF!</v>
      </c>
      <c r="AT21" s="24">
        <f t="shared" si="7"/>
        <v>2.4503304656425501E-2</v>
      </c>
      <c r="AU21" s="24">
        <f t="shared" si="8"/>
        <v>2.4498749616110274E-2</v>
      </c>
      <c r="AV21" s="24">
        <f t="shared" si="4"/>
        <v>2.4498545398867089E-2</v>
      </c>
      <c r="AW21" s="24">
        <f t="shared" si="9"/>
        <v>2.4498371990790975E-2</v>
      </c>
      <c r="AX21" s="24">
        <f t="shared" si="10"/>
        <v>2.4498222908887122E-2</v>
      </c>
    </row>
    <row r="22" spans="1:50" x14ac:dyDescent="0.2">
      <c r="A22" s="44"/>
      <c r="B22" s="49">
        <v>17</v>
      </c>
      <c r="C22" s="54">
        <f t="shared" ref="C22:AF22" si="25">ROUND((C59+(C59*($F$2+$J$2)))*20,0)/20</f>
        <v>4866.7</v>
      </c>
      <c r="D22" s="54">
        <f t="shared" si="25"/>
        <v>5087.25</v>
      </c>
      <c r="E22" s="54">
        <f t="shared" si="25"/>
        <v>5307.85</v>
      </c>
      <c r="F22" s="54">
        <f t="shared" si="25"/>
        <v>5528.2</v>
      </c>
      <c r="G22" s="54">
        <f t="shared" si="25"/>
        <v>5740.8</v>
      </c>
      <c r="H22" s="54">
        <f t="shared" si="25"/>
        <v>5953.25</v>
      </c>
      <c r="I22" s="54">
        <f t="shared" si="25"/>
        <v>6165.75</v>
      </c>
      <c r="J22" s="54">
        <f t="shared" si="25"/>
        <v>6378.45</v>
      </c>
      <c r="K22" s="54">
        <f t="shared" si="25"/>
        <v>6471.45</v>
      </c>
      <c r="L22" s="54">
        <f t="shared" si="25"/>
        <v>6564.5</v>
      </c>
      <c r="M22" s="54">
        <f t="shared" si="25"/>
        <v>6657.6</v>
      </c>
      <c r="N22" s="54">
        <f t="shared" si="25"/>
        <v>6750.55</v>
      </c>
      <c r="O22" s="54">
        <f t="shared" si="25"/>
        <v>6817.4</v>
      </c>
      <c r="P22" s="54">
        <f t="shared" si="25"/>
        <v>6884.05</v>
      </c>
      <c r="Q22" s="54">
        <f t="shared" si="25"/>
        <v>6950.7</v>
      </c>
      <c r="R22" s="54">
        <f t="shared" si="25"/>
        <v>7017.3</v>
      </c>
      <c r="S22" s="54">
        <f t="shared" si="25"/>
        <v>7084.25</v>
      </c>
      <c r="T22" s="54">
        <f t="shared" si="25"/>
        <v>7150.8</v>
      </c>
      <c r="U22" s="54">
        <f t="shared" si="25"/>
        <v>7217.55</v>
      </c>
      <c r="V22" s="54">
        <f t="shared" si="25"/>
        <v>7284.3</v>
      </c>
      <c r="W22" s="54">
        <f t="shared" si="25"/>
        <v>7284.3</v>
      </c>
      <c r="X22" s="54">
        <f t="shared" si="25"/>
        <v>7318.75</v>
      </c>
      <c r="Y22" s="54">
        <f t="shared" si="25"/>
        <v>7318.75</v>
      </c>
      <c r="Z22" s="54">
        <f t="shared" si="25"/>
        <v>7353.4</v>
      </c>
      <c r="AA22" s="54">
        <f t="shared" si="25"/>
        <v>7353.4</v>
      </c>
      <c r="AB22" s="54">
        <f t="shared" si="25"/>
        <v>7387.95</v>
      </c>
      <c r="AC22" s="54">
        <f t="shared" si="25"/>
        <v>7387.95</v>
      </c>
      <c r="AD22" s="54">
        <f t="shared" si="25"/>
        <v>7422.5</v>
      </c>
      <c r="AE22" s="54">
        <f t="shared" si="25"/>
        <v>7422.5</v>
      </c>
      <c r="AF22" s="54">
        <f t="shared" si="25"/>
        <v>7457.15</v>
      </c>
      <c r="AG22" s="44"/>
      <c r="AH22" s="49">
        <v>17</v>
      </c>
      <c r="AI22" s="55">
        <f t="shared" si="1"/>
        <v>4866.7</v>
      </c>
      <c r="AJ22" s="56">
        <f t="shared" si="2"/>
        <v>5528.2</v>
      </c>
      <c r="AK22" s="57">
        <f t="shared" si="6"/>
        <v>6010.4375</v>
      </c>
      <c r="AL22" s="58">
        <f t="shared" si="6"/>
        <v>6492.6750000000002</v>
      </c>
      <c r="AM22" s="59">
        <f t="shared" si="6"/>
        <v>6974.9125000000004</v>
      </c>
      <c r="AO22" t="str">
        <f>IF('Berechnung Nettolohn'!$D$28=Lohntabelle24!AH22,IF(AND('Berechnung Nettolohn'!$D$4&lt;Lohntabelle24!AJ22,'Berechnung Nettolohn'!$D$4&gt;=Lohntabelle24!AI22),"Unterfunktionslohn",IF(AND('Berechnung Nettolohn'!$D$4&lt;Lohntabelle24!AK22,'Berechnung Nettolohn'!$D$4&gt;=Lohntabelle24!AJ22),"1. Quartil",IF(AND('Berechnung Nettolohn'!$D$4&lt;Lohntabelle24!AL22,'Berechnung Nettolohn'!$D$4&gt;=Lohntabelle24!AK22),"2. Quartil",IF(AND('Berechnung Nettolohn'!$D$4&lt;Lohntabelle24!AM22,'Berechnung Nettolohn'!$D$4&gt;=Lohntabelle24!AL22),"3. Quartil",IF(AND('Berechnung Nettolohn'!$D$4&gt;=Lohntabelle24!AM22,'Berechnung Nettolohn'!$D$4&lt;Lohntabelle24!AF22),"4. Quartil",IF('Berechnung Nettolohn'!$D$4=Lohntabelle24!AF22,"höchster Erfahrungswert","Lohnband prüfen")))))),"")</f>
        <v/>
      </c>
      <c r="AP22" t="e">
        <f>IF(#REF!=Lohntabelle24!AH22,IF(AND(#REF!&lt;Lohntabelle24!AJ22,#REF!&gt;=Lohntabelle24!AI22),"Unterfunktionslohn",IF(AND(#REF!&lt;Lohntabelle24!AK22,#REF!&gt;=Lohntabelle24!AJ22),"1. Quartil",IF(AND(#REF!&lt;Lohntabelle24!AL22,#REF!&gt;=Lohntabelle24!AK22),"2. Quartil",IF(AND(#REF!&lt;Lohntabelle24!AM22,#REF!&gt;=Lohntabelle24!AL22),"3. Quartil",IF(AND(#REF!&gt;=Lohntabelle24!AM22,#REF!&lt;Lohntabelle24!AF22),"4. Quartil",IF(#REF!=Lohntabelle24!AF22,"höchsten Erfahrungswert","Lohnband prüfen")))))),"")</f>
        <v>#REF!</v>
      </c>
      <c r="AT22" s="24">
        <f t="shared" si="7"/>
        <v>2.4503715554806987E-2</v>
      </c>
      <c r="AU22" s="24">
        <f t="shared" si="8"/>
        <v>2.4499629355077802E-2</v>
      </c>
      <c r="AV22" s="24">
        <f t="shared" si="8"/>
        <v>2.4500571019482876E-2</v>
      </c>
      <c r="AW22" s="24">
        <f t="shared" si="9"/>
        <v>2.4501372802726757E-2</v>
      </c>
      <c r="AX22" s="24">
        <f t="shared" si="10"/>
        <v>2.4502063718218142E-2</v>
      </c>
    </row>
    <row r="23" spans="1:50" x14ac:dyDescent="0.2">
      <c r="A23" s="44"/>
      <c r="B23" s="49">
        <v>18</v>
      </c>
      <c r="C23" s="54">
        <f t="shared" ref="C23:AF23" si="26">ROUND((C60+(C60*($F$2+$J$2)))*20,0)/20</f>
        <v>4630.7</v>
      </c>
      <c r="D23" s="54">
        <f t="shared" si="26"/>
        <v>4841.6000000000004</v>
      </c>
      <c r="E23" s="54">
        <f t="shared" si="26"/>
        <v>5052.5</v>
      </c>
      <c r="F23" s="54">
        <f t="shared" si="26"/>
        <v>5263.25</v>
      </c>
      <c r="G23" s="54">
        <f t="shared" si="26"/>
        <v>5465.05</v>
      </c>
      <c r="H23" s="54">
        <f t="shared" si="26"/>
        <v>5666.85</v>
      </c>
      <c r="I23" s="54">
        <f t="shared" si="26"/>
        <v>5868.6</v>
      </c>
      <c r="J23" s="54">
        <f t="shared" si="26"/>
        <v>6070.4</v>
      </c>
      <c r="K23" s="54">
        <f t="shared" si="26"/>
        <v>6158.8</v>
      </c>
      <c r="L23" s="54">
        <f t="shared" si="26"/>
        <v>6247.25</v>
      </c>
      <c r="M23" s="54">
        <f t="shared" si="26"/>
        <v>6335.45</v>
      </c>
      <c r="N23" s="54">
        <f t="shared" si="26"/>
        <v>6423.75</v>
      </c>
      <c r="O23" s="54">
        <f t="shared" si="26"/>
        <v>6482.5</v>
      </c>
      <c r="P23" s="54">
        <f t="shared" si="26"/>
        <v>6541.35</v>
      </c>
      <c r="Q23" s="54">
        <f t="shared" si="26"/>
        <v>6600.2</v>
      </c>
      <c r="R23" s="54">
        <f t="shared" si="26"/>
        <v>6658.85</v>
      </c>
      <c r="S23" s="54">
        <f t="shared" si="26"/>
        <v>6717.6</v>
      </c>
      <c r="T23" s="54">
        <f t="shared" si="26"/>
        <v>6776.3</v>
      </c>
      <c r="U23" s="54">
        <f t="shared" si="26"/>
        <v>6835.1</v>
      </c>
      <c r="V23" s="54">
        <f t="shared" si="26"/>
        <v>6894</v>
      </c>
      <c r="W23" s="54">
        <f t="shared" si="26"/>
        <v>6894</v>
      </c>
      <c r="X23" s="54">
        <f t="shared" si="26"/>
        <v>6926.85</v>
      </c>
      <c r="Y23" s="54">
        <f t="shared" si="26"/>
        <v>6926.85</v>
      </c>
      <c r="Z23" s="54">
        <f t="shared" si="26"/>
        <v>6959.85</v>
      </c>
      <c r="AA23" s="54">
        <f t="shared" si="26"/>
        <v>6959.85</v>
      </c>
      <c r="AB23" s="54">
        <f t="shared" si="26"/>
        <v>6992.7</v>
      </c>
      <c r="AC23" s="54">
        <f t="shared" si="26"/>
        <v>6992.7</v>
      </c>
      <c r="AD23" s="54">
        <f t="shared" si="26"/>
        <v>7025.65</v>
      </c>
      <c r="AE23" s="54">
        <f t="shared" si="26"/>
        <v>7025.65</v>
      </c>
      <c r="AF23" s="54">
        <f t="shared" si="26"/>
        <v>7058.6</v>
      </c>
      <c r="AG23" s="44"/>
      <c r="AH23" s="49">
        <v>18</v>
      </c>
      <c r="AI23" s="55">
        <f t="shared" si="1"/>
        <v>4630.7</v>
      </c>
      <c r="AJ23" s="56">
        <f t="shared" si="2"/>
        <v>5263.25</v>
      </c>
      <c r="AK23" s="57">
        <f t="shared" ref="AK23:AM33" si="27">(AJ23+(($AF23-$F23)*0.25))</f>
        <v>5712.0874999999996</v>
      </c>
      <c r="AL23" s="58">
        <f t="shared" si="27"/>
        <v>6160.9249999999993</v>
      </c>
      <c r="AM23" s="59">
        <f t="shared" si="27"/>
        <v>6609.7624999999989</v>
      </c>
      <c r="AO23" t="str">
        <f>IF('Berechnung Nettolohn'!$D$28=Lohntabelle24!AH23,IF(AND('Berechnung Nettolohn'!$D$4&lt;Lohntabelle24!AJ23,'Berechnung Nettolohn'!$D$4&gt;=Lohntabelle24!AI23),"Unterfunktionslohn",IF(AND('Berechnung Nettolohn'!$D$4&lt;Lohntabelle24!AK23,'Berechnung Nettolohn'!$D$4&gt;=Lohntabelle24!AJ23),"1. Quartil",IF(AND('Berechnung Nettolohn'!$D$4&lt;Lohntabelle24!AL23,'Berechnung Nettolohn'!$D$4&gt;=Lohntabelle24!AK23),"2. Quartil",IF(AND('Berechnung Nettolohn'!$D$4&lt;Lohntabelle24!AM23,'Berechnung Nettolohn'!$D$4&gt;=Lohntabelle24!AL23),"3. Quartil",IF(AND('Berechnung Nettolohn'!$D$4&gt;=Lohntabelle24!AM23,'Berechnung Nettolohn'!$D$4&lt;Lohntabelle24!AF23),"4. Quartil",IF('Berechnung Nettolohn'!$D$4=Lohntabelle24!AF23,"höchster Erfahrungswert","Lohnband prüfen")))))),"")</f>
        <v/>
      </c>
      <c r="AP23" t="e">
        <f>IF(#REF!=Lohntabelle24!AH23,IF(AND(#REF!&lt;Lohntabelle24!AJ23,#REF!&gt;=Lohntabelle24!AI23),"Unterfunktionslohn",IF(AND(#REF!&lt;Lohntabelle24!AK23,#REF!&gt;=Lohntabelle24!AJ23),"1. Quartil",IF(AND(#REF!&lt;Lohntabelle24!AL23,#REF!&gt;=Lohntabelle24!AK23),"2. Quartil",IF(AND(#REF!&lt;Lohntabelle24!AM23,#REF!&gt;=Lohntabelle24!AL23),"3. Quartil",IF(AND(#REF!&gt;=Lohntabelle24!AM23,#REF!&lt;Lohntabelle24!AF23),"4. Quartil",IF(#REF!=Lohntabelle24!AF23,"höchsten Erfahrungswert","Lohnband prüfen")))))),"")</f>
        <v>#REF!</v>
      </c>
      <c r="AT23" s="24">
        <f t="shared" si="7"/>
        <v>2.4502483434551268E-2</v>
      </c>
      <c r="AU23" s="24">
        <f t="shared" si="8"/>
        <v>2.4496827188850465E-2</v>
      </c>
      <c r="AV23" s="24">
        <f t="shared" si="8"/>
        <v>2.449780288763333E-2</v>
      </c>
      <c r="AW23" s="24">
        <f t="shared" si="9"/>
        <v>2.4498636424105179E-2</v>
      </c>
      <c r="AX23" s="24">
        <f t="shared" si="10"/>
        <v>2.4499356758683474E-2</v>
      </c>
    </row>
    <row r="24" spans="1:50" x14ac:dyDescent="0.2">
      <c r="A24" s="44"/>
      <c r="B24" s="49">
        <v>19</v>
      </c>
      <c r="C24" s="54">
        <f t="shared" ref="C24:AF24" si="28">ROUND((C61+(C61*($F$2+$J$2)))*20,0)/20</f>
        <v>4422.3999999999996</v>
      </c>
      <c r="D24" s="54">
        <f t="shared" si="28"/>
        <v>4625.3</v>
      </c>
      <c r="E24" s="54">
        <f t="shared" si="28"/>
        <v>4828</v>
      </c>
      <c r="F24" s="54">
        <f t="shared" si="28"/>
        <v>5030.95</v>
      </c>
      <c r="G24" s="54">
        <f t="shared" si="28"/>
        <v>5223.5</v>
      </c>
      <c r="H24" s="54">
        <f t="shared" si="28"/>
        <v>5416</v>
      </c>
      <c r="I24" s="54">
        <f t="shared" si="28"/>
        <v>5608.5</v>
      </c>
      <c r="J24" s="54">
        <f t="shared" si="28"/>
        <v>5801</v>
      </c>
      <c r="K24" s="54">
        <f t="shared" si="28"/>
        <v>5885.3</v>
      </c>
      <c r="L24" s="54">
        <f t="shared" si="28"/>
        <v>5969.65</v>
      </c>
      <c r="M24" s="54">
        <f t="shared" si="28"/>
        <v>6053.85</v>
      </c>
      <c r="N24" s="54">
        <f t="shared" si="28"/>
        <v>6138</v>
      </c>
      <c r="O24" s="54">
        <f t="shared" si="28"/>
        <v>6190.85</v>
      </c>
      <c r="P24" s="54">
        <f t="shared" si="28"/>
        <v>6243.6</v>
      </c>
      <c r="Q24" s="54">
        <f t="shared" si="28"/>
        <v>6296.35</v>
      </c>
      <c r="R24" s="54">
        <f t="shared" si="28"/>
        <v>6349.1</v>
      </c>
      <c r="S24" s="54">
        <f t="shared" si="28"/>
        <v>6402</v>
      </c>
      <c r="T24" s="54">
        <f t="shared" si="28"/>
        <v>6454.7</v>
      </c>
      <c r="U24" s="54">
        <f t="shared" si="28"/>
        <v>6507.5</v>
      </c>
      <c r="V24" s="54">
        <f t="shared" si="28"/>
        <v>6560.3</v>
      </c>
      <c r="W24" s="54">
        <f t="shared" si="28"/>
        <v>6560.3</v>
      </c>
      <c r="X24" s="54">
        <f t="shared" si="28"/>
        <v>6591.85</v>
      </c>
      <c r="Y24" s="54">
        <f t="shared" si="28"/>
        <v>6591.85</v>
      </c>
      <c r="Z24" s="54">
        <f t="shared" si="28"/>
        <v>6623.5</v>
      </c>
      <c r="AA24" s="54">
        <f t="shared" si="28"/>
        <v>6623.5</v>
      </c>
      <c r="AB24" s="54">
        <f t="shared" si="28"/>
        <v>6655</v>
      </c>
      <c r="AC24" s="54">
        <f t="shared" si="28"/>
        <v>6655</v>
      </c>
      <c r="AD24" s="54">
        <f t="shared" si="28"/>
        <v>6686.45</v>
      </c>
      <c r="AE24" s="54">
        <f t="shared" si="28"/>
        <v>6686.45</v>
      </c>
      <c r="AF24" s="54">
        <f t="shared" si="28"/>
        <v>6718.05</v>
      </c>
      <c r="AG24" s="44"/>
      <c r="AH24" s="49">
        <v>19</v>
      </c>
      <c r="AI24" s="55">
        <f t="shared" si="1"/>
        <v>4422.3999999999996</v>
      </c>
      <c r="AJ24" s="56">
        <f t="shared" si="2"/>
        <v>5030.95</v>
      </c>
      <c r="AK24" s="57">
        <f t="shared" si="27"/>
        <v>5452.7250000000004</v>
      </c>
      <c r="AL24" s="58">
        <f t="shared" si="27"/>
        <v>5874.5</v>
      </c>
      <c r="AM24" s="59">
        <f t="shared" si="27"/>
        <v>6296.2749999999996</v>
      </c>
      <c r="AO24" t="str">
        <f>IF('Berechnung Nettolohn'!$D$28=Lohntabelle24!AH24,IF(AND('Berechnung Nettolohn'!$D$4&lt;Lohntabelle24!AJ24,'Berechnung Nettolohn'!$D$4&gt;=Lohntabelle24!AI24),"Unterfunktionslohn",IF(AND('Berechnung Nettolohn'!$D$4&lt;Lohntabelle24!AK24,'Berechnung Nettolohn'!$D$4&gt;=Lohntabelle24!AJ24),"1. Quartil",IF(AND('Berechnung Nettolohn'!$D$4&lt;Lohntabelle24!AL24,'Berechnung Nettolohn'!$D$4&gt;=Lohntabelle24!AK24),"2. Quartil",IF(AND('Berechnung Nettolohn'!$D$4&lt;Lohntabelle24!AM24,'Berechnung Nettolohn'!$D$4&gt;=Lohntabelle24!AL24),"3. Quartil",IF(AND('Berechnung Nettolohn'!$D$4&gt;=Lohntabelle24!AM24,'Berechnung Nettolohn'!$D$4&lt;Lohntabelle24!AF24),"4. Quartil",IF('Berechnung Nettolohn'!$D$4=Lohntabelle24!AF24,"höchster Erfahrungswert","Lohnband prüfen")))))),"")</f>
        <v/>
      </c>
      <c r="AP24" t="e">
        <f>IF(#REF!=Lohntabelle24!AH24,IF(AND(#REF!&lt;Lohntabelle24!AJ24,#REF!&gt;=Lohntabelle24!AI24),"Unterfunktionslohn",IF(AND(#REF!&lt;Lohntabelle24!AK24,#REF!&gt;=Lohntabelle24!AJ24),"1. Quartil",IF(AND(#REF!&lt;Lohntabelle24!AL24,#REF!&gt;=Lohntabelle24!AK24),"2. Quartil",IF(AND(#REF!&lt;Lohntabelle24!AM24,#REF!&gt;=Lohntabelle24!AL24),"3. Quartil",IF(AND(#REF!&gt;=Lohntabelle24!AM24,#REF!&lt;Lohntabelle24!AF24),"4. Quartil",IF(#REF!=Lohntabelle24!AF24,"höchsten Erfahrungswert","Lohnband prüfen")))))),"")</f>
        <v>#REF!</v>
      </c>
      <c r="AT24" s="24">
        <f t="shared" si="7"/>
        <v>2.4498164085575622E-2</v>
      </c>
      <c r="AU24" s="24">
        <f t="shared" si="8"/>
        <v>2.4497775243603227E-2</v>
      </c>
      <c r="AV24" s="24">
        <f t="shared" si="8"/>
        <v>2.4498164575245507E-2</v>
      </c>
      <c r="AW24" s="24">
        <f t="shared" si="9"/>
        <v>2.4498498000967973E-2</v>
      </c>
      <c r="AX24" s="24">
        <f t="shared" si="10"/>
        <v>2.4498786755807404E-2</v>
      </c>
    </row>
    <row r="25" spans="1:50" x14ac:dyDescent="0.2">
      <c r="A25" s="44"/>
      <c r="B25" s="49">
        <v>20</v>
      </c>
      <c r="C25" s="54">
        <f t="shared" ref="C25:AF25" si="29">ROUND((C62+(C62*($F$2+$J$2)))*20,0)/20</f>
        <v>4217.8999999999996</v>
      </c>
      <c r="D25" s="54">
        <f t="shared" si="29"/>
        <v>4411.95</v>
      </c>
      <c r="E25" s="54">
        <f t="shared" si="29"/>
        <v>4606</v>
      </c>
      <c r="F25" s="54">
        <f t="shared" si="29"/>
        <v>4800</v>
      </c>
      <c r="G25" s="54">
        <f t="shared" si="29"/>
        <v>4983.55</v>
      </c>
      <c r="H25" s="54">
        <f t="shared" si="29"/>
        <v>5167.1000000000004</v>
      </c>
      <c r="I25" s="54">
        <f t="shared" si="29"/>
        <v>5350.5</v>
      </c>
      <c r="J25" s="54">
        <f t="shared" si="29"/>
        <v>5534.05</v>
      </c>
      <c r="K25" s="54">
        <f t="shared" si="29"/>
        <v>5614.3</v>
      </c>
      <c r="L25" s="54">
        <f t="shared" si="29"/>
        <v>5694.7</v>
      </c>
      <c r="M25" s="54">
        <f t="shared" si="29"/>
        <v>5775</v>
      </c>
      <c r="N25" s="54">
        <f t="shared" si="29"/>
        <v>5855.15</v>
      </c>
      <c r="O25" s="54">
        <f t="shared" si="29"/>
        <v>5906.85</v>
      </c>
      <c r="P25" s="54">
        <f t="shared" si="29"/>
        <v>5958.45</v>
      </c>
      <c r="Q25" s="54">
        <f t="shared" si="29"/>
        <v>6010.1</v>
      </c>
      <c r="R25" s="54">
        <f t="shared" si="29"/>
        <v>6061.8</v>
      </c>
      <c r="S25" s="54">
        <f t="shared" si="29"/>
        <v>6113.35</v>
      </c>
      <c r="T25" s="54">
        <f t="shared" si="29"/>
        <v>6164.9</v>
      </c>
      <c r="U25" s="54">
        <f t="shared" si="29"/>
        <v>6216.7</v>
      </c>
      <c r="V25" s="54">
        <f t="shared" si="29"/>
        <v>6268.25</v>
      </c>
      <c r="W25" s="54">
        <f t="shared" si="29"/>
        <v>6268.25</v>
      </c>
      <c r="X25" s="54">
        <f t="shared" si="29"/>
        <v>6298.15</v>
      </c>
      <c r="Y25" s="54">
        <f t="shared" si="29"/>
        <v>6298.15</v>
      </c>
      <c r="Z25" s="54">
        <f t="shared" si="29"/>
        <v>6328.15</v>
      </c>
      <c r="AA25" s="54">
        <f t="shared" si="29"/>
        <v>6328.15</v>
      </c>
      <c r="AB25" s="54">
        <f t="shared" si="29"/>
        <v>6358.1</v>
      </c>
      <c r="AC25" s="54">
        <f t="shared" si="29"/>
        <v>6358.1</v>
      </c>
      <c r="AD25" s="54">
        <f t="shared" si="29"/>
        <v>6388.05</v>
      </c>
      <c r="AE25" s="54">
        <f t="shared" si="29"/>
        <v>6388.05</v>
      </c>
      <c r="AF25" s="54">
        <f t="shared" si="29"/>
        <v>6417.95</v>
      </c>
      <c r="AG25" s="44"/>
      <c r="AH25" s="49">
        <v>20</v>
      </c>
      <c r="AI25" s="55">
        <f t="shared" si="1"/>
        <v>4217.8999999999996</v>
      </c>
      <c r="AJ25" s="56">
        <f t="shared" si="2"/>
        <v>4800</v>
      </c>
      <c r="AK25" s="57">
        <f t="shared" si="27"/>
        <v>5204.4875000000002</v>
      </c>
      <c r="AL25" s="58">
        <f t="shared" si="27"/>
        <v>5608.9750000000004</v>
      </c>
      <c r="AM25" s="59">
        <f t="shared" si="27"/>
        <v>6013.4625000000005</v>
      </c>
      <c r="AO25" t="str">
        <f>IF('Berechnung Nettolohn'!$D$28=Lohntabelle24!AH25,IF(AND('Berechnung Nettolohn'!$D$4&lt;Lohntabelle24!AJ25,'Berechnung Nettolohn'!$D$4&gt;=Lohntabelle24!AI25),"Unterfunktionslohn",IF(AND('Berechnung Nettolohn'!$D$4&lt;Lohntabelle24!AK25,'Berechnung Nettolohn'!$D$4&gt;=Lohntabelle24!AJ25),"1. Quartil",IF(AND('Berechnung Nettolohn'!$D$4&lt;Lohntabelle24!AL25,'Berechnung Nettolohn'!$D$4&gt;=Lohntabelle24!AK25),"2. Quartil",IF(AND('Berechnung Nettolohn'!$D$4&lt;Lohntabelle24!AM25,'Berechnung Nettolohn'!$D$4&gt;=Lohntabelle24!AL25),"3. Quartil",IF(AND('Berechnung Nettolohn'!$D$4&gt;=Lohntabelle24!AM25,'Berechnung Nettolohn'!$D$4&lt;Lohntabelle24!AF25),"4. Quartil",IF('Berechnung Nettolohn'!$D$4=Lohntabelle24!AF25,"höchster Erfahrungswert","Lohnband prüfen")))))),"")</f>
        <v/>
      </c>
      <c r="AP25" t="e">
        <f>IF(#REF!=Lohntabelle24!AH25,IF(AND(#REF!&lt;Lohntabelle24!AJ25,#REF!&gt;=Lohntabelle24!AI25),"Unterfunktionslohn",IF(AND(#REF!&lt;Lohntabelle24!AK25,#REF!&gt;=Lohntabelle24!AJ25),"1. Quartil",IF(AND(#REF!&lt;Lohntabelle24!AL25,#REF!&gt;=Lohntabelle24!AK25),"2. Quartil",IF(AND(#REF!&lt;Lohntabelle24!AM25,#REF!&gt;=Lohntabelle24!AL25),"3. Quartil",IF(AND(#REF!&gt;=Lohntabelle24!AM25,#REF!&lt;Lohntabelle24!AF25),"4. Quartil",IF(#REF!=Lohntabelle24!AF25,"höchsten Erfahrungswert","Lohnband prüfen")))))),"")</f>
        <v>#REF!</v>
      </c>
      <c r="AT25" s="24">
        <f t="shared" si="7"/>
        <v>2.4495694732878992E-2</v>
      </c>
      <c r="AU25" s="24">
        <f t="shared" si="8"/>
        <v>2.4502689319559505E-2</v>
      </c>
      <c r="AV25" s="24">
        <f t="shared" si="8"/>
        <v>2.4502892463355231E-2</v>
      </c>
      <c r="AW25" s="24">
        <f t="shared" si="9"/>
        <v>2.4503066308055609E-2</v>
      </c>
      <c r="AX25" s="24">
        <f t="shared" si="10"/>
        <v>2.4503216765941804E-2</v>
      </c>
    </row>
    <row r="26" spans="1:50" x14ac:dyDescent="0.2">
      <c r="A26" s="44"/>
      <c r="B26" s="49">
        <v>21</v>
      </c>
      <c r="C26" s="54">
        <f t="shared" ref="C26:AF26" si="30">ROUND((C63+(C63*($F$2+$J$2)))*20,0)/20</f>
        <v>4038.65</v>
      </c>
      <c r="D26" s="54">
        <f t="shared" si="30"/>
        <v>4225.6499999999996</v>
      </c>
      <c r="E26" s="54">
        <f t="shared" si="30"/>
        <v>4412.7</v>
      </c>
      <c r="F26" s="54">
        <f t="shared" si="30"/>
        <v>4599.75</v>
      </c>
      <c r="G26" s="54">
        <f t="shared" si="30"/>
        <v>4777.25</v>
      </c>
      <c r="H26" s="54">
        <f t="shared" si="30"/>
        <v>4955</v>
      </c>
      <c r="I26" s="54">
        <f t="shared" si="30"/>
        <v>5132.45</v>
      </c>
      <c r="J26" s="54">
        <f t="shared" si="30"/>
        <v>5310</v>
      </c>
      <c r="K26" s="54">
        <f t="shared" si="30"/>
        <v>5387.7</v>
      </c>
      <c r="L26" s="54">
        <f t="shared" si="30"/>
        <v>5465.4</v>
      </c>
      <c r="M26" s="54">
        <f t="shared" si="30"/>
        <v>5543.15</v>
      </c>
      <c r="N26" s="54">
        <f t="shared" si="30"/>
        <v>5620.85</v>
      </c>
      <c r="O26" s="54">
        <f t="shared" si="30"/>
        <v>5666.85</v>
      </c>
      <c r="P26" s="54">
        <f t="shared" si="30"/>
        <v>5712.85</v>
      </c>
      <c r="Q26" s="54">
        <f t="shared" si="30"/>
        <v>5759.05</v>
      </c>
      <c r="R26" s="54">
        <f t="shared" si="30"/>
        <v>5805</v>
      </c>
      <c r="S26" s="54">
        <f t="shared" si="30"/>
        <v>5851</v>
      </c>
      <c r="T26" s="54">
        <f t="shared" si="30"/>
        <v>5897.1</v>
      </c>
      <c r="U26" s="54">
        <f t="shared" si="30"/>
        <v>5943.1</v>
      </c>
      <c r="V26" s="54">
        <f t="shared" si="30"/>
        <v>5989.1</v>
      </c>
      <c r="W26" s="54">
        <f t="shared" si="30"/>
        <v>5989.1</v>
      </c>
      <c r="X26" s="54">
        <f t="shared" si="30"/>
        <v>6016.25</v>
      </c>
      <c r="Y26" s="54">
        <f t="shared" si="30"/>
        <v>6016.25</v>
      </c>
      <c r="Z26" s="54">
        <f t="shared" si="30"/>
        <v>6043.35</v>
      </c>
      <c r="AA26" s="54">
        <f t="shared" si="30"/>
        <v>6043.35</v>
      </c>
      <c r="AB26" s="54">
        <f t="shared" si="30"/>
        <v>6070.35</v>
      </c>
      <c r="AC26" s="54">
        <f t="shared" si="30"/>
        <v>6070.35</v>
      </c>
      <c r="AD26" s="54">
        <f t="shared" si="30"/>
        <v>6097.5</v>
      </c>
      <c r="AE26" s="54">
        <f t="shared" si="30"/>
        <v>6097.5</v>
      </c>
      <c r="AF26" s="54">
        <f t="shared" si="30"/>
        <v>6124.55</v>
      </c>
      <c r="AG26" s="44"/>
      <c r="AH26" s="49">
        <v>21</v>
      </c>
      <c r="AI26" s="55">
        <f t="shared" si="1"/>
        <v>4038.65</v>
      </c>
      <c r="AJ26" s="56">
        <f t="shared" si="2"/>
        <v>4599.75</v>
      </c>
      <c r="AK26" s="57">
        <f t="shared" si="27"/>
        <v>4980.95</v>
      </c>
      <c r="AL26" s="58">
        <f t="shared" si="27"/>
        <v>5362.15</v>
      </c>
      <c r="AM26" s="59">
        <f t="shared" si="27"/>
        <v>5743.3499999999995</v>
      </c>
      <c r="AO26" t="str">
        <f>IF('Berechnung Nettolohn'!$D$28=Lohntabelle24!AH26,IF(AND('Berechnung Nettolohn'!$D$4&lt;Lohntabelle24!AJ26,'Berechnung Nettolohn'!$D$4&gt;=Lohntabelle24!AI26),"Unterfunktionslohn",IF(AND('Berechnung Nettolohn'!$D$4&lt;Lohntabelle24!AK26,'Berechnung Nettolohn'!$D$4&gt;=Lohntabelle24!AJ26),"1. Quartil",IF(AND('Berechnung Nettolohn'!$D$4&lt;Lohntabelle24!AL26,'Berechnung Nettolohn'!$D$4&gt;=Lohntabelle24!AK26),"2. Quartil",IF(AND('Berechnung Nettolohn'!$D$4&lt;Lohntabelle24!AM26,'Berechnung Nettolohn'!$D$4&gt;=Lohntabelle24!AL26),"3. Quartil",IF(AND('Berechnung Nettolohn'!$D$4&gt;=Lohntabelle24!AM26,'Berechnung Nettolohn'!$D$4&lt;Lohntabelle24!AF26),"4. Quartil",IF('Berechnung Nettolohn'!$D$4=Lohntabelle24!AF26,"höchster Erfahrungswert","Lohnband prüfen")))))),"")</f>
        <v/>
      </c>
      <c r="AP26" t="e">
        <f>IF(#REF!=Lohntabelle24!AH26,IF(AND(#REF!&lt;Lohntabelle24!AJ26,#REF!&gt;=Lohntabelle24!AI26),"Unterfunktionslohn",IF(AND(#REF!&lt;Lohntabelle24!AK26,#REF!&gt;=Lohntabelle24!AJ26),"1. Quartil",IF(AND(#REF!&lt;Lohntabelle24!AL26,#REF!&gt;=Lohntabelle24!AK26),"2. Quartil",IF(AND(#REF!&lt;Lohntabelle24!AM26,#REF!&gt;=Lohntabelle24!AL26),"3. Quartil",IF(AND(#REF!&gt;=Lohntabelle24!AM26,#REF!&lt;Lohntabelle24!AF26),"4. Quartil",IF(#REF!=Lohntabelle24!AF26,"höchsten Erfahrungswert","Lohnband prüfen")))))),"")</f>
        <v>#REF!</v>
      </c>
      <c r="AT26" s="24">
        <f t="shared" si="7"/>
        <v>2.4505016425463884E-2</v>
      </c>
      <c r="AU26" s="24">
        <f t="shared" si="8"/>
        <v>2.4500250570744474E-2</v>
      </c>
      <c r="AV26" s="24">
        <f t="shared" si="8"/>
        <v>2.4499481934556675E-2</v>
      </c>
      <c r="AW26" s="24">
        <f t="shared" si="9"/>
        <v>2.4498822585344724E-2</v>
      </c>
      <c r="AX26" s="24">
        <f t="shared" si="10"/>
        <v>2.4498250762016775E-2</v>
      </c>
    </row>
    <row r="27" spans="1:50" x14ac:dyDescent="0.2">
      <c r="A27" s="44"/>
      <c r="B27" s="49">
        <v>22</v>
      </c>
      <c r="C27" s="54">
        <f t="shared" ref="C27:AF27" si="31">ROUND((C64+(C64*($F$2+$J$2)))*20,0)/20</f>
        <v>3873.95</v>
      </c>
      <c r="D27" s="54">
        <f t="shared" si="31"/>
        <v>4054.45</v>
      </c>
      <c r="E27" s="54">
        <f t="shared" si="31"/>
        <v>4235.1499999999996</v>
      </c>
      <c r="F27" s="54">
        <f t="shared" si="31"/>
        <v>4415.8</v>
      </c>
      <c r="G27" s="54">
        <f t="shared" si="31"/>
        <v>4587.95</v>
      </c>
      <c r="H27" s="54">
        <f t="shared" si="31"/>
        <v>4760.05</v>
      </c>
      <c r="I27" s="54">
        <f t="shared" si="31"/>
        <v>4932.25</v>
      </c>
      <c r="J27" s="54">
        <f t="shared" si="31"/>
        <v>5104.3500000000004</v>
      </c>
      <c r="K27" s="54">
        <f t="shared" si="31"/>
        <v>5179.7</v>
      </c>
      <c r="L27" s="54">
        <f t="shared" si="31"/>
        <v>5254.95</v>
      </c>
      <c r="M27" s="54">
        <f t="shared" si="31"/>
        <v>5330.3</v>
      </c>
      <c r="N27" s="54">
        <f t="shared" si="31"/>
        <v>5405.75</v>
      </c>
      <c r="O27" s="54">
        <f t="shared" si="31"/>
        <v>5450</v>
      </c>
      <c r="P27" s="54">
        <f t="shared" si="31"/>
        <v>5494.05</v>
      </c>
      <c r="Q27" s="54">
        <f t="shared" si="31"/>
        <v>5538.25</v>
      </c>
      <c r="R27" s="54">
        <f t="shared" si="31"/>
        <v>5582.45</v>
      </c>
      <c r="S27" s="54">
        <f t="shared" si="31"/>
        <v>5626.55</v>
      </c>
      <c r="T27" s="54">
        <f t="shared" si="31"/>
        <v>5670.8</v>
      </c>
      <c r="U27" s="54">
        <f t="shared" si="31"/>
        <v>5715.05</v>
      </c>
      <c r="V27" s="54">
        <f t="shared" si="31"/>
        <v>5759.35</v>
      </c>
      <c r="W27" s="54">
        <f t="shared" si="31"/>
        <v>5759.35</v>
      </c>
      <c r="X27" s="54">
        <f t="shared" si="31"/>
        <v>5783.5</v>
      </c>
      <c r="Y27" s="54">
        <f t="shared" si="31"/>
        <v>5783.5</v>
      </c>
      <c r="Z27" s="54">
        <f t="shared" si="31"/>
        <v>5807.95</v>
      </c>
      <c r="AA27" s="54">
        <f t="shared" si="31"/>
        <v>5807.95</v>
      </c>
      <c r="AB27" s="54">
        <f t="shared" si="31"/>
        <v>5832.3</v>
      </c>
      <c r="AC27" s="54">
        <f t="shared" si="31"/>
        <v>5832.3</v>
      </c>
      <c r="AD27" s="54">
        <f t="shared" si="31"/>
        <v>5856.5</v>
      </c>
      <c r="AE27" s="54">
        <f t="shared" si="31"/>
        <v>5856.5</v>
      </c>
      <c r="AF27" s="54">
        <f t="shared" si="31"/>
        <v>5881</v>
      </c>
      <c r="AG27" s="44"/>
      <c r="AH27" s="49">
        <v>22</v>
      </c>
      <c r="AI27" s="55">
        <f t="shared" si="1"/>
        <v>3873.95</v>
      </c>
      <c r="AJ27" s="56">
        <f t="shared" si="2"/>
        <v>4415.8</v>
      </c>
      <c r="AK27" s="57">
        <f t="shared" si="27"/>
        <v>4782.1000000000004</v>
      </c>
      <c r="AL27" s="58">
        <f t="shared" si="27"/>
        <v>5148.4000000000005</v>
      </c>
      <c r="AM27" s="59">
        <f t="shared" si="27"/>
        <v>5514.7000000000007</v>
      </c>
      <c r="AO27" t="str">
        <f>IF('Berechnung Nettolohn'!$D$28=Lohntabelle24!AH27,IF(AND('Berechnung Nettolohn'!$D$4&lt;Lohntabelle24!AJ27,'Berechnung Nettolohn'!$D$4&gt;=Lohntabelle24!AI27),"Unterfunktionslohn",IF(AND('Berechnung Nettolohn'!$D$4&lt;Lohntabelle24!AK27,'Berechnung Nettolohn'!$D$4&gt;=Lohntabelle24!AJ27),"1. Quartil",IF(AND('Berechnung Nettolohn'!$D$4&lt;Lohntabelle24!AL27,'Berechnung Nettolohn'!$D$4&gt;=Lohntabelle24!AK27),"2. Quartil",IF(AND('Berechnung Nettolohn'!$D$4&lt;Lohntabelle24!AM27,'Berechnung Nettolohn'!$D$4&gt;=Lohntabelle24!AL27),"3. Quartil",IF(AND('Berechnung Nettolohn'!$D$4&gt;=Lohntabelle24!AM27,'Berechnung Nettolohn'!$D$4&lt;Lohntabelle24!AF27),"4. Quartil",IF('Berechnung Nettolohn'!$D$4=Lohntabelle24!AF27,"höchster Erfahrungswert","Lohnband prüfen")))))),"")</f>
        <v/>
      </c>
      <c r="AP27" t="e">
        <f>IF(#REF!=Lohntabelle24!AH27,IF(AND(#REF!&lt;Lohntabelle24!AJ27,#REF!&gt;=Lohntabelle24!AI27),"Unterfunktionslohn",IF(AND(#REF!&lt;Lohntabelle24!AK27,#REF!&gt;=Lohntabelle24!AJ27),"1. Quartil",IF(AND(#REF!&lt;Lohntabelle24!AL27,#REF!&gt;=Lohntabelle24!AK27),"2. Quartil",IF(AND(#REF!&lt;Lohntabelle24!AM27,#REF!&gt;=Lohntabelle24!AL27),"3. Quartil",IF(AND(#REF!&gt;=Lohntabelle24!AM27,#REF!&lt;Lohntabelle24!AF27),"4. Quartil",IF(#REF!=Lohntabelle24!AF27,"höchsten Erfahrungswert","Lohnband prüfen")))))),"")</f>
        <v>#REF!</v>
      </c>
      <c r="AT27" s="24">
        <f t="shared" si="7"/>
        <v>2.450215534340032E-2</v>
      </c>
      <c r="AU27" s="24">
        <f t="shared" si="8"/>
        <v>2.4500023200779632E-2</v>
      </c>
      <c r="AV27" s="24">
        <f t="shared" si="8"/>
        <v>2.4500627980900851E-2</v>
      </c>
      <c r="AW27" s="24">
        <f t="shared" si="9"/>
        <v>2.4501146703414238E-2</v>
      </c>
      <c r="AX27" s="24">
        <f t="shared" si="10"/>
        <v>2.4501596516690819E-2</v>
      </c>
    </row>
    <row r="28" spans="1:50" x14ac:dyDescent="0.2">
      <c r="A28" s="44"/>
      <c r="B28" s="49">
        <v>23</v>
      </c>
      <c r="C28" s="54">
        <f t="shared" ref="C28:AF28" si="32">ROUND((C65+(C65*($F$2+$J$2)))*20,0)/20</f>
        <v>3723.8</v>
      </c>
      <c r="D28" s="54">
        <f t="shared" si="32"/>
        <v>3898.6</v>
      </c>
      <c r="E28" s="54">
        <f t="shared" si="32"/>
        <v>4073.3</v>
      </c>
      <c r="F28" s="54">
        <f t="shared" si="32"/>
        <v>4248.05</v>
      </c>
      <c r="G28" s="54">
        <f t="shared" si="32"/>
        <v>4415.3500000000004</v>
      </c>
      <c r="H28" s="54">
        <f t="shared" si="32"/>
        <v>4582.6499999999996</v>
      </c>
      <c r="I28" s="54">
        <f t="shared" si="32"/>
        <v>4749.8999999999996</v>
      </c>
      <c r="J28" s="54">
        <f t="shared" si="32"/>
        <v>4917.1000000000004</v>
      </c>
      <c r="K28" s="54">
        <f t="shared" si="32"/>
        <v>4990.25</v>
      </c>
      <c r="L28" s="54">
        <f t="shared" si="32"/>
        <v>5063.45</v>
      </c>
      <c r="M28" s="54">
        <f t="shared" si="32"/>
        <v>5136.6499999999996</v>
      </c>
      <c r="N28" s="54">
        <f t="shared" si="32"/>
        <v>5209.8500000000004</v>
      </c>
      <c r="O28" s="54">
        <f t="shared" si="32"/>
        <v>5252.15</v>
      </c>
      <c r="P28" s="54">
        <f t="shared" si="32"/>
        <v>5294.25</v>
      </c>
      <c r="Q28" s="54">
        <f t="shared" si="32"/>
        <v>5336.6</v>
      </c>
      <c r="R28" s="54">
        <f t="shared" si="32"/>
        <v>5378.85</v>
      </c>
      <c r="S28" s="54">
        <f t="shared" si="32"/>
        <v>5421.2</v>
      </c>
      <c r="T28" s="54">
        <f t="shared" si="32"/>
        <v>5463.4</v>
      </c>
      <c r="U28" s="54">
        <f t="shared" si="32"/>
        <v>5505.7</v>
      </c>
      <c r="V28" s="54">
        <f t="shared" si="32"/>
        <v>5539.55</v>
      </c>
      <c r="W28" s="54">
        <f t="shared" si="32"/>
        <v>5539.55</v>
      </c>
      <c r="X28" s="54">
        <f t="shared" si="32"/>
        <v>5563.05</v>
      </c>
      <c r="Y28" s="54">
        <f t="shared" si="32"/>
        <v>5563.05</v>
      </c>
      <c r="Z28" s="54">
        <f t="shared" si="32"/>
        <v>5586.65</v>
      </c>
      <c r="AA28" s="54">
        <f t="shared" si="32"/>
        <v>5586.65</v>
      </c>
      <c r="AB28" s="54">
        <f t="shared" si="32"/>
        <v>5610.15</v>
      </c>
      <c r="AC28" s="54">
        <f t="shared" si="32"/>
        <v>5610.15</v>
      </c>
      <c r="AD28" s="54">
        <f t="shared" si="32"/>
        <v>5633.55</v>
      </c>
      <c r="AE28" s="54">
        <f t="shared" si="32"/>
        <v>5633.55</v>
      </c>
      <c r="AF28" s="54">
        <f t="shared" si="32"/>
        <v>5657.2</v>
      </c>
      <c r="AG28" s="44"/>
      <c r="AH28" s="49">
        <v>23</v>
      </c>
      <c r="AI28" s="55">
        <f t="shared" si="1"/>
        <v>3723.8</v>
      </c>
      <c r="AJ28" s="56">
        <f t="shared" si="2"/>
        <v>4248.05</v>
      </c>
      <c r="AK28" s="57">
        <f t="shared" si="27"/>
        <v>4600.3374999999996</v>
      </c>
      <c r="AL28" s="58">
        <f t="shared" si="27"/>
        <v>4952.625</v>
      </c>
      <c r="AM28" s="59">
        <f t="shared" si="27"/>
        <v>5304.9125000000004</v>
      </c>
      <c r="AO28" t="str">
        <f>IF('Berechnung Nettolohn'!$D$28=Lohntabelle24!AH28,IF(AND('Berechnung Nettolohn'!$D$4&lt;Lohntabelle24!AJ28,'Berechnung Nettolohn'!$D$4&gt;=Lohntabelle24!AI28),"Unterfunktionslohn",IF(AND('Berechnung Nettolohn'!$D$4&lt;Lohntabelle24!AK28,'Berechnung Nettolohn'!$D$4&gt;=Lohntabelle24!AJ28),"1. Quartil",IF(AND('Berechnung Nettolohn'!$D$4&lt;Lohntabelle24!AL28,'Berechnung Nettolohn'!$D$4&gt;=Lohntabelle24!AK28),"2. Quartil",IF(AND('Berechnung Nettolohn'!$D$4&lt;Lohntabelle24!AM28,'Berechnung Nettolohn'!$D$4&gt;=Lohntabelle24!AL28),"3. Quartil",IF(AND('Berechnung Nettolohn'!$D$4&gt;=Lohntabelle24!AM28,'Berechnung Nettolohn'!$D$4&lt;Lohntabelle24!AF28),"4. Quartil",IF('Berechnung Nettolohn'!$D$4=Lohntabelle24!AF28,"höchster Erfahrungswert","Lohnband prüfen")))))),"")</f>
        <v/>
      </c>
      <c r="AP28" t="e">
        <f>IF(#REF!=Lohntabelle24!AH28,IF(AND(#REF!&lt;Lohntabelle24!AJ28,#REF!&gt;=Lohntabelle24!AI28),"Unterfunktionslohn",IF(AND(#REF!&lt;Lohntabelle24!AK28,#REF!&gt;=Lohntabelle24!AJ28),"1. Quartil",IF(AND(#REF!&lt;Lohntabelle24!AL28,#REF!&gt;=Lohntabelle24!AK28),"2. Quartil",IF(AND(#REF!&lt;Lohntabelle24!AM28,#REF!&gt;=Lohntabelle24!AL28),"3. Quartil",IF(AND(#REF!&gt;=Lohntabelle24!AM28,#REF!&lt;Lohntabelle24!AF28),"4. Quartil",IF(#REF!=Lohntabelle24!AF28,"höchsten Erfahrungswert","Lohnband prüfen")))))),"")</f>
        <v>#REF!</v>
      </c>
      <c r="AT28" s="24">
        <f t="shared" si="7"/>
        <v>2.4499621707132591E-2</v>
      </c>
      <c r="AU28" s="24">
        <f t="shared" si="8"/>
        <v>2.4502888012637405E-2</v>
      </c>
      <c r="AV28" s="24">
        <f t="shared" si="8"/>
        <v>2.4502748973484503E-2</v>
      </c>
      <c r="AW28" s="24">
        <f t="shared" si="9"/>
        <v>2.4502629714480716E-2</v>
      </c>
      <c r="AX28" s="24">
        <f t="shared" si="10"/>
        <v>2.4502526294952479E-2</v>
      </c>
    </row>
    <row r="29" spans="1:50" x14ac:dyDescent="0.2">
      <c r="A29" s="44"/>
      <c r="B29" s="49">
        <v>24</v>
      </c>
      <c r="C29" s="54">
        <f t="shared" ref="C29:AF29" si="33">ROUND((C66+(C66*($F$2+$J$2)))*20,0)/20</f>
        <v>3587.55</v>
      </c>
      <c r="D29" s="54">
        <f t="shared" si="33"/>
        <v>3757.1</v>
      </c>
      <c r="E29" s="54">
        <f t="shared" si="33"/>
        <v>3926.65</v>
      </c>
      <c r="F29" s="54">
        <f t="shared" si="33"/>
        <v>4096.3500000000004</v>
      </c>
      <c r="G29" s="54">
        <f t="shared" si="33"/>
        <v>4259.25</v>
      </c>
      <c r="H29" s="54">
        <f t="shared" si="33"/>
        <v>4422.3500000000004</v>
      </c>
      <c r="I29" s="54">
        <f t="shared" si="33"/>
        <v>4585.2</v>
      </c>
      <c r="J29" s="54">
        <f t="shared" si="33"/>
        <v>4748.2</v>
      </c>
      <c r="K29" s="54">
        <f t="shared" si="33"/>
        <v>4819.55</v>
      </c>
      <c r="L29" s="54">
        <f t="shared" si="33"/>
        <v>4890.8500000000004</v>
      </c>
      <c r="M29" s="54">
        <f t="shared" si="33"/>
        <v>4962.05</v>
      </c>
      <c r="N29" s="54">
        <f t="shared" si="33"/>
        <v>5033.5</v>
      </c>
      <c r="O29" s="54">
        <f t="shared" si="33"/>
        <v>5073.8500000000004</v>
      </c>
      <c r="P29" s="54">
        <f t="shared" si="33"/>
        <v>5114.1499999999996</v>
      </c>
      <c r="Q29" s="54">
        <f t="shared" si="33"/>
        <v>5154.6000000000004</v>
      </c>
      <c r="R29" s="54">
        <f t="shared" si="33"/>
        <v>5195</v>
      </c>
      <c r="S29" s="54">
        <f t="shared" si="33"/>
        <v>5235.2</v>
      </c>
      <c r="T29" s="54">
        <f t="shared" si="33"/>
        <v>5275.5</v>
      </c>
      <c r="U29" s="54">
        <f t="shared" si="33"/>
        <v>5313.2</v>
      </c>
      <c r="V29" s="54">
        <f t="shared" si="33"/>
        <v>5336.65</v>
      </c>
      <c r="W29" s="54">
        <f t="shared" si="33"/>
        <v>5336.65</v>
      </c>
      <c r="X29" s="54">
        <f t="shared" si="33"/>
        <v>5360.25</v>
      </c>
      <c r="Y29" s="54">
        <f t="shared" si="33"/>
        <v>5360.25</v>
      </c>
      <c r="Z29" s="54">
        <f t="shared" si="33"/>
        <v>5383.7</v>
      </c>
      <c r="AA29" s="54">
        <f t="shared" si="33"/>
        <v>5383.7</v>
      </c>
      <c r="AB29" s="54">
        <f t="shared" si="33"/>
        <v>5407.15</v>
      </c>
      <c r="AC29" s="54">
        <f t="shared" si="33"/>
        <v>5407.15</v>
      </c>
      <c r="AD29" s="54">
        <f t="shared" si="33"/>
        <v>5430.55</v>
      </c>
      <c r="AE29" s="54">
        <f t="shared" si="33"/>
        <v>5430.55</v>
      </c>
      <c r="AF29" s="54">
        <f t="shared" si="33"/>
        <v>5454.2</v>
      </c>
      <c r="AG29" s="44"/>
      <c r="AH29" s="49">
        <v>24</v>
      </c>
      <c r="AI29" s="55">
        <f t="shared" si="1"/>
        <v>3587.55</v>
      </c>
      <c r="AJ29" s="56">
        <f t="shared" si="2"/>
        <v>4096.3500000000004</v>
      </c>
      <c r="AK29" s="57">
        <f t="shared" si="27"/>
        <v>4435.8125</v>
      </c>
      <c r="AL29" s="58">
        <f t="shared" si="27"/>
        <v>4775.2749999999996</v>
      </c>
      <c r="AM29" s="59">
        <f t="shared" si="27"/>
        <v>5114.7374999999993</v>
      </c>
      <c r="AO29" t="str">
        <f>IF('Berechnung Nettolohn'!$D$28=Lohntabelle24!AH29,IF(AND('Berechnung Nettolohn'!$D$4&lt;Lohntabelle24!AJ29,'Berechnung Nettolohn'!$D$4&gt;=Lohntabelle24!AI29),"Unterfunktionslohn",IF(AND('Berechnung Nettolohn'!$D$4&lt;Lohntabelle24!AK29,'Berechnung Nettolohn'!$D$4&gt;=Lohntabelle24!AJ29),"1. Quartil",IF(AND('Berechnung Nettolohn'!$D$4&lt;Lohntabelle24!AL29,'Berechnung Nettolohn'!$D$4&gt;=Lohntabelle24!AK29),"2. Quartil",IF(AND('Berechnung Nettolohn'!$D$4&lt;Lohntabelle24!AM29,'Berechnung Nettolohn'!$D$4&gt;=Lohntabelle24!AL29),"3. Quartil",IF(AND('Berechnung Nettolohn'!$D$4&gt;=Lohntabelle24!AM29,'Berechnung Nettolohn'!$D$4&lt;Lohntabelle24!AF29),"4. Quartil",IF('Berechnung Nettolohn'!$D$4=Lohntabelle24!AF29,"höchster Erfahrungswert","Lohnband prüfen")))))),"")</f>
        <v/>
      </c>
      <c r="AP29" t="e">
        <f>IF(#REF!=Lohntabelle24!AH29,IF(AND(#REF!&lt;Lohntabelle24!AJ29,#REF!&gt;=Lohntabelle24!AI29),"Unterfunktionslohn",IF(AND(#REF!&lt;Lohntabelle24!AK29,#REF!&gt;=Lohntabelle24!AJ29),"1. Quartil",IF(AND(#REF!&lt;Lohntabelle24!AL29,#REF!&gt;=Lohntabelle24!AK29),"2. Quartil",IF(AND(#REF!&lt;Lohntabelle24!AM29,#REF!&gt;=Lohntabelle24!AL29),"3. Quartil",IF(AND(#REF!&gt;=Lohntabelle24!AM29,#REF!&lt;Lohntabelle24!AF29),"4. Quartil",IF(#REF!=Lohntabelle24!AF29,"höchsten Erfahrungswert","Lohnband prüfen")))))),"")</f>
        <v>#REF!</v>
      </c>
      <c r="AT29" s="24">
        <f t="shared" si="7"/>
        <v>2.4502034696937298E-2</v>
      </c>
      <c r="AU29" s="24">
        <f t="shared" si="8"/>
        <v>2.4497298919567895E-2</v>
      </c>
      <c r="AV29" s="24">
        <f t="shared" si="8"/>
        <v>2.4499175758345586E-2</v>
      </c>
      <c r="AW29" s="24">
        <f t="shared" si="9"/>
        <v>2.4500785762940916E-2</v>
      </c>
      <c r="AX29" s="24">
        <f t="shared" si="10"/>
        <v>2.4502182061277956E-2</v>
      </c>
    </row>
    <row r="30" spans="1:50" x14ac:dyDescent="0.2">
      <c r="A30" s="44"/>
      <c r="B30" s="49">
        <v>25</v>
      </c>
      <c r="C30" s="54">
        <f t="shared" ref="C30:AF30" si="34">ROUND((C67+(C67*($F$2+$J$2)))*20,0)/20</f>
        <v>3465.3</v>
      </c>
      <c r="D30" s="54">
        <f t="shared" si="34"/>
        <v>3630.4</v>
      </c>
      <c r="E30" s="54">
        <f t="shared" si="34"/>
        <v>3795.65</v>
      </c>
      <c r="F30" s="54">
        <f t="shared" si="34"/>
        <v>3960.85</v>
      </c>
      <c r="G30" s="54">
        <f t="shared" si="34"/>
        <v>4120</v>
      </c>
      <c r="H30" s="54">
        <f t="shared" si="34"/>
        <v>4279.2</v>
      </c>
      <c r="I30" s="54">
        <f t="shared" si="34"/>
        <v>4438.3</v>
      </c>
      <c r="J30" s="54">
        <f t="shared" si="34"/>
        <v>4597.3999999999996</v>
      </c>
      <c r="K30" s="54">
        <f t="shared" si="34"/>
        <v>4667.1499999999996</v>
      </c>
      <c r="L30" s="54">
        <f t="shared" si="34"/>
        <v>4736.8</v>
      </c>
      <c r="M30" s="54">
        <f t="shared" si="34"/>
        <v>4806.5</v>
      </c>
      <c r="N30" s="54">
        <f t="shared" si="34"/>
        <v>4876.1000000000004</v>
      </c>
      <c r="O30" s="54">
        <f t="shared" si="34"/>
        <v>4914.6499999999996</v>
      </c>
      <c r="P30" s="54">
        <f t="shared" si="34"/>
        <v>4953.05</v>
      </c>
      <c r="Q30" s="54">
        <f t="shared" si="34"/>
        <v>4991.45</v>
      </c>
      <c r="R30" s="54">
        <f t="shared" si="34"/>
        <v>5029.95</v>
      </c>
      <c r="S30" s="54">
        <f t="shared" si="34"/>
        <v>5068.45</v>
      </c>
      <c r="T30" s="54">
        <f t="shared" si="34"/>
        <v>5106.6499999999996</v>
      </c>
      <c r="U30" s="54">
        <f t="shared" si="34"/>
        <v>5130.25</v>
      </c>
      <c r="V30" s="54">
        <f t="shared" si="34"/>
        <v>5153.7</v>
      </c>
      <c r="W30" s="54">
        <f t="shared" si="34"/>
        <v>5153.7</v>
      </c>
      <c r="X30" s="54">
        <f t="shared" si="34"/>
        <v>5177.2</v>
      </c>
      <c r="Y30" s="54">
        <f t="shared" si="34"/>
        <v>5177.2</v>
      </c>
      <c r="Z30" s="54">
        <f t="shared" si="34"/>
        <v>5200.6000000000004</v>
      </c>
      <c r="AA30" s="54">
        <f t="shared" si="34"/>
        <v>5200.6000000000004</v>
      </c>
      <c r="AB30" s="54">
        <f t="shared" si="34"/>
        <v>5224.2</v>
      </c>
      <c r="AC30" s="54">
        <f t="shared" si="34"/>
        <v>5224.2</v>
      </c>
      <c r="AD30" s="54">
        <f t="shared" si="34"/>
        <v>5247.75</v>
      </c>
      <c r="AE30" s="54">
        <f t="shared" si="34"/>
        <v>5247.75</v>
      </c>
      <c r="AF30" s="54">
        <f t="shared" si="34"/>
        <v>5271.25</v>
      </c>
      <c r="AG30" s="44"/>
      <c r="AH30" s="49">
        <v>25</v>
      </c>
      <c r="AI30" s="55">
        <f t="shared" si="1"/>
        <v>3465.3</v>
      </c>
      <c r="AJ30" s="56">
        <f t="shared" si="2"/>
        <v>3960.85</v>
      </c>
      <c r="AK30" s="57">
        <f t="shared" si="27"/>
        <v>4288.45</v>
      </c>
      <c r="AL30" s="58">
        <f t="shared" si="27"/>
        <v>4616.05</v>
      </c>
      <c r="AM30" s="59">
        <f t="shared" si="27"/>
        <v>4943.6500000000005</v>
      </c>
      <c r="AO30" t="str">
        <f>IF('Berechnung Nettolohn'!$D$28=Lohntabelle24!AH30,IF(AND('Berechnung Nettolohn'!$D$4&lt;Lohntabelle24!AJ30,'Berechnung Nettolohn'!$D$4&gt;=Lohntabelle24!AI30),"Unterfunktionslohn",IF(AND('Berechnung Nettolohn'!$D$4&lt;Lohntabelle24!AK30,'Berechnung Nettolohn'!$D$4&gt;=Lohntabelle24!AJ30),"1. Quartil",IF(AND('Berechnung Nettolohn'!$D$4&lt;Lohntabelle24!AL30,'Berechnung Nettolohn'!$D$4&gt;=Lohntabelle24!AK30),"2. Quartil",IF(AND('Berechnung Nettolohn'!$D$4&lt;Lohntabelle24!AM30,'Berechnung Nettolohn'!$D$4&gt;=Lohntabelle24!AL30),"3. Quartil",IF(AND('Berechnung Nettolohn'!$D$4&gt;=Lohntabelle24!AM30,'Berechnung Nettolohn'!$D$4&lt;Lohntabelle24!AF30),"4. Quartil",IF('Berechnung Nettolohn'!$D$4=Lohntabelle24!AF30,"höchster Erfahrungswert","Lohnband prüfen")))))),"")</f>
        <v/>
      </c>
      <c r="AP30" t="e">
        <f>IF(#REF!=Lohntabelle24!AH30,IF(AND(#REF!&lt;Lohntabelle24!AJ30,#REF!&gt;=Lohntabelle24!AI30),"Unterfunktionslohn",IF(AND(#REF!&lt;Lohntabelle24!AK30,#REF!&gt;=Lohntabelle24!AJ30),"1. Quartil",IF(AND(#REF!&lt;Lohntabelle24!AL30,#REF!&gt;=Lohntabelle24!AK30),"2. Quartil",IF(AND(#REF!&lt;Lohntabelle24!AM30,#REF!&gt;=Lohntabelle24!AL30),"3. Quartil",IF(AND(#REF!&gt;=Lohntabelle24!AM30,#REF!&lt;Lohntabelle24!AF30),"4. Quartil",IF(#REF!=Lohntabelle24!AF30,"höchsten Erfahrungswert","Lohnband prüfen")))))),"")</f>
        <v>#REF!</v>
      </c>
      <c r="AT30" s="24">
        <f t="shared" si="7"/>
        <v>2.4494079735103362E-2</v>
      </c>
      <c r="AU30" s="24">
        <f t="shared" si="8"/>
        <v>2.4494652302678329E-2</v>
      </c>
      <c r="AV30" s="24">
        <f t="shared" si="8"/>
        <v>2.4495853651981366E-2</v>
      </c>
      <c r="AW30" s="24">
        <f t="shared" si="9"/>
        <v>2.4496884484566685E-2</v>
      </c>
      <c r="AX30" s="24">
        <f t="shared" si="10"/>
        <v>2.4497778698822758E-2</v>
      </c>
    </row>
    <row r="31" spans="1:50" x14ac:dyDescent="0.2">
      <c r="A31" s="44"/>
      <c r="B31" s="49">
        <v>26</v>
      </c>
      <c r="C31" s="54">
        <f t="shared" ref="C31:AF31" si="35">ROUND((C68+(C68*($F$2+$J$2)))*20,0)/20</f>
        <v>3360.5</v>
      </c>
      <c r="D31" s="54">
        <f t="shared" si="35"/>
        <v>3521.4</v>
      </c>
      <c r="E31" s="54">
        <f t="shared" si="35"/>
        <v>3682.5</v>
      </c>
      <c r="F31" s="54">
        <f t="shared" si="35"/>
        <v>3843.45</v>
      </c>
      <c r="G31" s="54">
        <f t="shared" si="35"/>
        <v>3999</v>
      </c>
      <c r="H31" s="54">
        <f t="shared" si="35"/>
        <v>4154.25</v>
      </c>
      <c r="I31" s="54">
        <f t="shared" si="35"/>
        <v>4309.6000000000004</v>
      </c>
      <c r="J31" s="54">
        <f t="shared" si="35"/>
        <v>4465</v>
      </c>
      <c r="K31" s="54">
        <f t="shared" si="35"/>
        <v>4533.05</v>
      </c>
      <c r="L31" s="54">
        <f t="shared" si="35"/>
        <v>4601.1499999999996</v>
      </c>
      <c r="M31" s="54">
        <f t="shared" si="35"/>
        <v>4669.05</v>
      </c>
      <c r="N31" s="54">
        <f t="shared" si="35"/>
        <v>4737.05</v>
      </c>
      <c r="O31" s="54">
        <f t="shared" si="35"/>
        <v>4773.6499999999996</v>
      </c>
      <c r="P31" s="54">
        <f t="shared" si="35"/>
        <v>4810.3999999999996</v>
      </c>
      <c r="Q31" s="54">
        <f t="shared" si="35"/>
        <v>4846.8999999999996</v>
      </c>
      <c r="R31" s="54">
        <f t="shared" si="35"/>
        <v>4883.6000000000004</v>
      </c>
      <c r="S31" s="54">
        <f t="shared" si="35"/>
        <v>4920.3</v>
      </c>
      <c r="T31" s="54">
        <f t="shared" si="35"/>
        <v>4943.8500000000004</v>
      </c>
      <c r="U31" s="54">
        <f t="shared" si="35"/>
        <v>4967.25</v>
      </c>
      <c r="V31" s="54">
        <f t="shared" si="35"/>
        <v>4990.75</v>
      </c>
      <c r="W31" s="54">
        <f t="shared" si="35"/>
        <v>4990.75</v>
      </c>
      <c r="X31" s="54">
        <f t="shared" si="35"/>
        <v>5014.25</v>
      </c>
      <c r="Y31" s="54">
        <f t="shared" si="35"/>
        <v>5014.25</v>
      </c>
      <c r="Z31" s="54">
        <f t="shared" si="35"/>
        <v>5037.6499999999996</v>
      </c>
      <c r="AA31" s="54">
        <f t="shared" si="35"/>
        <v>5037.6499999999996</v>
      </c>
      <c r="AB31" s="54">
        <f t="shared" si="35"/>
        <v>5061.3</v>
      </c>
      <c r="AC31" s="54">
        <f t="shared" si="35"/>
        <v>5061.3</v>
      </c>
      <c r="AD31" s="54">
        <f t="shared" si="35"/>
        <v>5084.6499999999996</v>
      </c>
      <c r="AE31" s="54">
        <f t="shared" si="35"/>
        <v>5084.6499999999996</v>
      </c>
      <c r="AF31" s="54">
        <f t="shared" si="35"/>
        <v>5108.25</v>
      </c>
      <c r="AG31" s="44"/>
      <c r="AH31" s="49">
        <v>26</v>
      </c>
      <c r="AI31" s="55">
        <f t="shared" si="1"/>
        <v>3360.5</v>
      </c>
      <c r="AJ31" s="56">
        <f t="shared" si="2"/>
        <v>3843.45</v>
      </c>
      <c r="AK31" s="57">
        <f t="shared" si="27"/>
        <v>4159.6499999999996</v>
      </c>
      <c r="AL31" s="58">
        <f t="shared" si="27"/>
        <v>4475.8499999999995</v>
      </c>
      <c r="AM31" s="59">
        <f t="shared" si="27"/>
        <v>4792.0499999999993</v>
      </c>
      <c r="AO31" t="str">
        <f>IF('Berechnung Nettolohn'!$D$28=Lohntabelle24!AH31,IF(AND('Berechnung Nettolohn'!$D$4&lt;Lohntabelle24!AJ31,'Berechnung Nettolohn'!$D$4&gt;=Lohntabelle24!AI31),"Unterfunktionslohn",IF(AND('Berechnung Nettolohn'!$D$4&lt;Lohntabelle24!AK31,'Berechnung Nettolohn'!$D$4&gt;=Lohntabelle24!AJ31),"1. Quartil",IF(AND('Berechnung Nettolohn'!$D$4&lt;Lohntabelle24!AL31,'Berechnung Nettolohn'!$D$4&gt;=Lohntabelle24!AK31),"2. Quartil",IF(AND('Berechnung Nettolohn'!$D$4&lt;Lohntabelle24!AM31,'Berechnung Nettolohn'!$D$4&gt;=Lohntabelle24!AL31),"3. Quartil",IF(AND('Berechnung Nettolohn'!$D$4&gt;=Lohntabelle24!AM31,'Berechnung Nettolohn'!$D$4&lt;Lohntabelle24!AF31),"4. Quartil",IF('Berechnung Nettolohn'!$D$4=Lohntabelle24!AF31,"höchster Erfahrungswert","Lohnband prüfen")))))),"")</f>
        <v/>
      </c>
      <c r="AP31" t="e">
        <f>IF(#REF!=Lohntabelle24!AH31,IF(AND(#REF!&lt;Lohntabelle24!AJ31,#REF!&gt;=Lohntabelle24!AI31),"Unterfunktionslohn",IF(AND(#REF!&lt;Lohntabelle24!AK31,#REF!&gt;=Lohntabelle24!AJ31),"1. Quartil",IF(AND(#REF!&lt;Lohntabelle24!AL31,#REF!&gt;=Lohntabelle24!AK31),"2. Quartil",IF(AND(#REF!&lt;Lohntabelle24!AM31,#REF!&gt;=Lohntabelle24!AL31),"3. Quartil",IF(AND(#REF!&gt;=Lohntabelle24!AM31,#REF!&lt;Lohntabelle24!AF31),"4. Quartil",IF(#REF!=Lohntabelle24!AF31,"höchsten Erfahrungswert","Lohnband prüfen")))))),"")</f>
        <v>#REF!</v>
      </c>
      <c r="AT31" s="24">
        <f t="shared" si="7"/>
        <v>2.4495830983339149E-2</v>
      </c>
      <c r="AU31" s="24">
        <f t="shared" si="8"/>
        <v>2.4496541429542357E-2</v>
      </c>
      <c r="AV31" s="24">
        <f t="shared" si="8"/>
        <v>2.449702138140163E-2</v>
      </c>
      <c r="AW31" s="24">
        <f t="shared" si="9"/>
        <v>2.4497433520454501E-2</v>
      </c>
      <c r="AX31" s="24">
        <f t="shared" si="10"/>
        <v>2.4497791270373551E-2</v>
      </c>
    </row>
    <row r="32" spans="1:50" x14ac:dyDescent="0.2">
      <c r="A32" s="44"/>
      <c r="B32" s="49">
        <v>27</v>
      </c>
      <c r="C32" s="54">
        <f t="shared" ref="C32:AF32" si="36">ROUND((C69+(C69*($F$2+$J$2)))*20,0)/20</f>
        <v>3263.8</v>
      </c>
      <c r="D32" s="54">
        <f t="shared" si="36"/>
        <v>3421.95</v>
      </c>
      <c r="E32" s="54">
        <f t="shared" si="36"/>
        <v>3580.2</v>
      </c>
      <c r="F32" s="54">
        <f t="shared" si="36"/>
        <v>3738.3</v>
      </c>
      <c r="G32" s="54">
        <f t="shared" si="36"/>
        <v>3890.95</v>
      </c>
      <c r="H32" s="54">
        <f t="shared" si="36"/>
        <v>4043.65</v>
      </c>
      <c r="I32" s="54">
        <f t="shared" si="36"/>
        <v>4196.3</v>
      </c>
      <c r="J32" s="54">
        <f t="shared" si="36"/>
        <v>4348.8500000000004</v>
      </c>
      <c r="K32" s="54">
        <f t="shared" si="36"/>
        <v>4415.75</v>
      </c>
      <c r="L32" s="54">
        <f t="shared" si="36"/>
        <v>4482.6000000000004</v>
      </c>
      <c r="M32" s="54">
        <f t="shared" si="36"/>
        <v>4549.3999999999996</v>
      </c>
      <c r="N32" s="54">
        <f t="shared" si="36"/>
        <v>4616.2</v>
      </c>
      <c r="O32" s="54">
        <f t="shared" si="36"/>
        <v>4650.95</v>
      </c>
      <c r="P32" s="54">
        <f t="shared" si="36"/>
        <v>4685.8</v>
      </c>
      <c r="Q32" s="54">
        <f t="shared" si="36"/>
        <v>4720.6000000000004</v>
      </c>
      <c r="R32" s="54">
        <f t="shared" si="36"/>
        <v>4754.1499999999996</v>
      </c>
      <c r="S32" s="54">
        <f t="shared" si="36"/>
        <v>4777.6499999999996</v>
      </c>
      <c r="T32" s="54">
        <f t="shared" si="36"/>
        <v>4801.2</v>
      </c>
      <c r="U32" s="54">
        <f t="shared" si="36"/>
        <v>4824.75</v>
      </c>
      <c r="V32" s="54">
        <f t="shared" si="36"/>
        <v>4848.3</v>
      </c>
      <c r="W32" s="54">
        <f t="shared" si="36"/>
        <v>4848.3</v>
      </c>
      <c r="X32" s="54">
        <f t="shared" si="36"/>
        <v>4871.6000000000004</v>
      </c>
      <c r="Y32" s="54">
        <f t="shared" si="36"/>
        <v>4871.6000000000004</v>
      </c>
      <c r="Z32" s="54">
        <f t="shared" si="36"/>
        <v>4895.1000000000004</v>
      </c>
      <c r="AA32" s="54">
        <f t="shared" si="36"/>
        <v>4895.1000000000004</v>
      </c>
      <c r="AB32" s="54">
        <f t="shared" si="36"/>
        <v>4918.7</v>
      </c>
      <c r="AC32" s="54">
        <f t="shared" si="36"/>
        <v>4918.7</v>
      </c>
      <c r="AD32" s="54">
        <f t="shared" si="36"/>
        <v>4942.1499999999996</v>
      </c>
      <c r="AE32" s="54">
        <f t="shared" si="36"/>
        <v>4942.1499999999996</v>
      </c>
      <c r="AF32" s="54">
        <f t="shared" si="36"/>
        <v>4965.6499999999996</v>
      </c>
      <c r="AG32" s="44"/>
      <c r="AH32" s="49">
        <v>27</v>
      </c>
      <c r="AI32" s="55">
        <f t="shared" si="1"/>
        <v>3263.8</v>
      </c>
      <c r="AJ32" s="56">
        <f t="shared" si="2"/>
        <v>3738.3</v>
      </c>
      <c r="AK32" s="57">
        <f t="shared" si="27"/>
        <v>4045.1374999999998</v>
      </c>
      <c r="AL32" s="58">
        <f t="shared" si="27"/>
        <v>4351.9749999999995</v>
      </c>
      <c r="AM32" s="59">
        <f t="shared" si="27"/>
        <v>4658.8124999999991</v>
      </c>
      <c r="AO32" t="str">
        <f>IF('Berechnung Nettolohn'!$D$28=Lohntabelle24!AH32,IF(AND('Berechnung Nettolohn'!$D$4&lt;Lohntabelle24!AJ32,'Berechnung Nettolohn'!$D$4&gt;=Lohntabelle24!AI32),"Unterfunktionslohn",IF(AND('Berechnung Nettolohn'!$D$4&lt;Lohntabelle24!AK32,'Berechnung Nettolohn'!$D$4&gt;=Lohntabelle24!AJ32),"1. Quartil",IF(AND('Berechnung Nettolohn'!$D$4&lt;Lohntabelle24!AL32,'Berechnung Nettolohn'!$D$4&gt;=Lohntabelle24!AK32),"2. Quartil",IF(AND('Berechnung Nettolohn'!$D$4&lt;Lohntabelle24!AM32,'Berechnung Nettolohn'!$D$4&gt;=Lohntabelle24!AL32),"3. Quartil",IF(AND('Berechnung Nettolohn'!$D$4&gt;=Lohntabelle24!AM32,'Berechnung Nettolohn'!$D$4&lt;Lohntabelle24!AF32),"4. Quartil",IF('Berechnung Nettolohn'!$D$4=Lohntabelle24!AF32,"höchster Erfahrungswert","Lohnband prüfen")))))),"")</f>
        <v/>
      </c>
      <c r="AP32" t="e">
        <f>IF(#REF!=Lohntabelle24!AH32,IF(AND(#REF!&lt;Lohntabelle24!AJ32,#REF!&gt;=Lohntabelle24!AI32),"Unterfunktionslohn",IF(AND(#REF!&lt;Lohntabelle24!AK32,#REF!&gt;=Lohntabelle24!AJ32),"1. Quartil",IF(AND(#REF!&lt;Lohntabelle24!AL32,#REF!&gt;=Lohntabelle24!AK32),"2. Quartil",IF(AND(#REF!&lt;Lohntabelle24!AM32,#REF!&gt;=Lohntabelle24!AL32),"3. Quartil",IF(AND(#REF!&gt;=Lohntabelle24!AM32,#REF!&lt;Lohntabelle24!AF32),"4. Quartil",IF(#REF!=Lohntabelle24!AF32,"höchsten Erfahrungswert","Lohnband prüfen")))))),"")</f>
        <v>#REF!</v>
      </c>
      <c r="AT32" s="24">
        <f t="shared" si="7"/>
        <v>2.4499725339402083E-2</v>
      </c>
      <c r="AU32" s="24">
        <f t="shared" si="8"/>
        <v>2.4500534407629723E-2</v>
      </c>
      <c r="AV32" s="24">
        <f t="shared" si="8"/>
        <v>2.4500430554148446E-2</v>
      </c>
      <c r="AW32" s="24">
        <f t="shared" si="9"/>
        <v>2.4500341345135204E-2</v>
      </c>
      <c r="AX32" s="24">
        <f t="shared" si="10"/>
        <v>2.4500263887056221E-2</v>
      </c>
    </row>
    <row r="33" spans="1:50" x14ac:dyDescent="0.2">
      <c r="A33" s="44"/>
      <c r="B33" s="49">
        <v>28</v>
      </c>
      <c r="C33" s="54">
        <f t="shared" ref="C33:AF33" si="37">ROUND((C70+(C70*($F$2+$J$2)))*20,0)/20</f>
        <v>3184.55</v>
      </c>
      <c r="D33" s="54">
        <f t="shared" si="37"/>
        <v>3340.05</v>
      </c>
      <c r="E33" s="54">
        <f t="shared" si="37"/>
        <v>3495.8</v>
      </c>
      <c r="F33" s="54">
        <f t="shared" si="37"/>
        <v>3651.25</v>
      </c>
      <c r="G33" s="54">
        <f t="shared" si="37"/>
        <v>3801.35</v>
      </c>
      <c r="H33" s="54">
        <f t="shared" si="37"/>
        <v>3951.6</v>
      </c>
      <c r="I33" s="54">
        <f t="shared" si="37"/>
        <v>4101.75</v>
      </c>
      <c r="J33" s="54">
        <f t="shared" si="37"/>
        <v>4251.95</v>
      </c>
      <c r="K33" s="54">
        <f t="shared" si="37"/>
        <v>4319.3</v>
      </c>
      <c r="L33" s="54">
        <f t="shared" si="37"/>
        <v>4386.75</v>
      </c>
      <c r="M33" s="54">
        <f t="shared" si="37"/>
        <v>4454.3999999999996</v>
      </c>
      <c r="N33" s="54">
        <f t="shared" si="37"/>
        <v>4521.8</v>
      </c>
      <c r="O33" s="54">
        <f t="shared" si="37"/>
        <v>4553.7</v>
      </c>
      <c r="P33" s="54">
        <f t="shared" si="37"/>
        <v>4583.8500000000004</v>
      </c>
      <c r="Q33" s="54">
        <f t="shared" si="37"/>
        <v>4607.3999999999996</v>
      </c>
      <c r="R33" s="54">
        <f t="shared" si="37"/>
        <v>4630.8999999999996</v>
      </c>
      <c r="S33" s="54">
        <f t="shared" si="37"/>
        <v>4654.3500000000004</v>
      </c>
      <c r="T33" s="54">
        <f t="shared" si="37"/>
        <v>4677.8999999999996</v>
      </c>
      <c r="U33" s="54">
        <f t="shared" si="37"/>
        <v>4701.3999999999996</v>
      </c>
      <c r="V33" s="54">
        <f t="shared" si="37"/>
        <v>4724.8999999999996</v>
      </c>
      <c r="W33" s="54">
        <f t="shared" si="37"/>
        <v>4724.8999999999996</v>
      </c>
      <c r="X33" s="54">
        <f t="shared" si="37"/>
        <v>4748.3500000000004</v>
      </c>
      <c r="Y33" s="54">
        <f t="shared" si="37"/>
        <v>4748.3500000000004</v>
      </c>
      <c r="Z33" s="54">
        <f t="shared" si="37"/>
        <v>4771.95</v>
      </c>
      <c r="AA33" s="54">
        <f t="shared" si="37"/>
        <v>4771.95</v>
      </c>
      <c r="AB33" s="54">
        <f t="shared" si="37"/>
        <v>4795.45</v>
      </c>
      <c r="AC33" s="54">
        <f t="shared" si="37"/>
        <v>4795.45</v>
      </c>
      <c r="AD33" s="54">
        <f t="shared" si="37"/>
        <v>4818.8999999999996</v>
      </c>
      <c r="AE33" s="54">
        <f t="shared" si="37"/>
        <v>4818.8999999999996</v>
      </c>
      <c r="AF33" s="54">
        <f t="shared" si="37"/>
        <v>4842.3999999999996</v>
      </c>
      <c r="AG33" s="44"/>
      <c r="AH33" s="49">
        <v>28</v>
      </c>
      <c r="AI33" s="55">
        <f t="shared" si="1"/>
        <v>3184.55</v>
      </c>
      <c r="AJ33" s="56">
        <f t="shared" si="2"/>
        <v>3651.25</v>
      </c>
      <c r="AK33" s="57">
        <f t="shared" si="27"/>
        <v>3949.0374999999999</v>
      </c>
      <c r="AL33" s="58">
        <f t="shared" si="27"/>
        <v>4246.8249999999998</v>
      </c>
      <c r="AM33" s="59">
        <f t="shared" si="27"/>
        <v>4544.6124999999993</v>
      </c>
      <c r="AO33" t="str">
        <f>IF('Berechnung Nettolohn'!$D$28=Lohntabelle24!AH33,IF(AND('Berechnung Nettolohn'!$D$4&lt;Lohntabelle24!AJ33,'Berechnung Nettolohn'!$D$4&gt;=Lohntabelle24!AI33),"Unterfunktionslohn",IF(AND('Berechnung Nettolohn'!$D$4&lt;Lohntabelle24!AK33,'Berechnung Nettolohn'!$D$4&gt;=Lohntabelle24!AJ33),"1. Quartil",IF(AND('Berechnung Nettolohn'!$D$4&lt;Lohntabelle24!AL33,'Berechnung Nettolohn'!$D$4&gt;=Lohntabelle24!AK33),"2. Quartil",IF(AND('Berechnung Nettolohn'!$D$4&lt;Lohntabelle24!AM33,'Berechnung Nettolohn'!$D$4&gt;=Lohntabelle24!AL33),"3. Quartil",IF(AND('Berechnung Nettolohn'!$D$4&gt;=Lohntabelle24!AM33,'Berechnung Nettolohn'!$D$4&lt;Lohntabelle24!AF33),"4. Quartil",IF('Berechnung Nettolohn'!$D$4=Lohntabelle24!AF33,"höchster Erfahrungswert","Lohnband prüfen")))))),"")</f>
        <v/>
      </c>
      <c r="AP33" t="e">
        <f>IF(#REF!=Lohntabelle24!AH33,IF(AND(#REF!&lt;Lohntabelle24!AJ33,#REF!&gt;=Lohntabelle24!AI33),"Unterfunktionslohn",IF(AND(#REF!&lt;Lohntabelle24!AK33,#REF!&gt;=Lohntabelle24!AJ33),"1. Quartil",IF(AND(#REF!&lt;Lohntabelle24!AL33,#REF!&gt;=Lohntabelle24!AK33),"2. Quartil",IF(AND(#REF!&lt;Lohntabelle24!AM33,#REF!&gt;=Lohntabelle24!AL33),"3. Quartil",IF(AND(#REF!&gt;=Lohntabelle24!AM33,#REF!&lt;Lohntabelle24!AF33),"4. Quartil",IF(#REF!=Lohntabelle24!AF33,"höchsten Erfahrungswert","Lohnband prüfen")))))),"")</f>
        <v>#REF!</v>
      </c>
      <c r="AT33" s="24">
        <f t="shared" si="7"/>
        <v>2.4498134088276956E-2</v>
      </c>
      <c r="AU33" s="24">
        <f t="shared" si="8"/>
        <v>2.4495293143843262E-2</v>
      </c>
      <c r="AV33" s="24">
        <f t="shared" si="8"/>
        <v>2.4496625795718693E-2</v>
      </c>
      <c r="AW33" s="24">
        <f t="shared" si="9"/>
        <v>2.4497771559184676E-2</v>
      </c>
      <c r="AX33" s="24">
        <f t="shared" si="10"/>
        <v>2.4498767171538899E-2</v>
      </c>
    </row>
    <row r="34" spans="1:50" x14ac:dyDescent="0.2">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row>
    <row r="35" spans="1:50" x14ac:dyDescent="0.2">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row>
    <row r="36" spans="1:50" x14ac:dyDescent="0.2">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50" x14ac:dyDescent="0.2">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1:50" ht="15.75" x14ac:dyDescent="0.25">
      <c r="A38" s="44"/>
      <c r="B38" s="41" t="s">
        <v>211</v>
      </c>
      <c r="C38" s="42"/>
      <c r="D38" s="42"/>
      <c r="E38" s="43"/>
      <c r="F38" s="43"/>
      <c r="G38" s="43"/>
      <c r="H38" s="43"/>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row>
    <row r="39" spans="1:50" x14ac:dyDescent="0.2">
      <c r="A39" s="44"/>
      <c r="B39" s="45" t="s">
        <v>115</v>
      </c>
      <c r="C39" s="46" t="str">
        <f>CONCATENATE("01.01.",Datensätze!A1-1)</f>
        <v>01.01.2023</v>
      </c>
      <c r="D39" s="42"/>
      <c r="E39" s="43"/>
      <c r="F39" s="43"/>
      <c r="G39" s="43"/>
      <c r="H39" s="43"/>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row>
    <row r="40" spans="1:50" x14ac:dyDescent="0.2">
      <c r="A40" s="44"/>
      <c r="B40" s="61"/>
      <c r="C40" s="46"/>
      <c r="D40" s="42"/>
      <c r="E40" s="43"/>
      <c r="F40" s="43"/>
      <c r="G40" s="43"/>
      <c r="H40" s="43"/>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row>
    <row r="41" spans="1:50" x14ac:dyDescent="0.2">
      <c r="A41" s="44"/>
      <c r="B41" s="48"/>
      <c r="C41" s="42" t="s">
        <v>116</v>
      </c>
      <c r="D41" s="44"/>
      <c r="E41" s="43"/>
      <c r="F41" s="43"/>
      <c r="G41" s="43"/>
      <c r="H41" s="43"/>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62"/>
      <c r="AJ41" s="63"/>
      <c r="AK41" s="63"/>
      <c r="AL41" s="63"/>
      <c r="AM41" s="63"/>
    </row>
    <row r="42" spans="1:50" x14ac:dyDescent="0.2">
      <c r="A42" s="44"/>
      <c r="B42" s="49" t="s">
        <v>113</v>
      </c>
      <c r="C42" s="50" t="s">
        <v>9</v>
      </c>
      <c r="D42" s="50" t="s">
        <v>10</v>
      </c>
      <c r="E42" s="51" t="s">
        <v>118</v>
      </c>
      <c r="F42" s="52">
        <v>1</v>
      </c>
      <c r="G42" s="52">
        <v>2</v>
      </c>
      <c r="H42" s="52">
        <v>3</v>
      </c>
      <c r="I42" s="52">
        <v>4</v>
      </c>
      <c r="J42" s="52">
        <v>5</v>
      </c>
      <c r="K42" s="52">
        <v>6</v>
      </c>
      <c r="L42" s="52">
        <v>7</v>
      </c>
      <c r="M42" s="52">
        <v>8</v>
      </c>
      <c r="N42" s="52">
        <v>9</v>
      </c>
      <c r="O42" s="52">
        <v>10</v>
      </c>
      <c r="P42" s="52">
        <v>11</v>
      </c>
      <c r="Q42" s="52">
        <v>12</v>
      </c>
      <c r="R42" s="52">
        <v>13</v>
      </c>
      <c r="S42" s="52">
        <v>14</v>
      </c>
      <c r="T42" s="52">
        <v>15</v>
      </c>
      <c r="U42" s="52">
        <v>16</v>
      </c>
      <c r="V42" s="52">
        <v>17</v>
      </c>
      <c r="W42" s="52">
        <v>18</v>
      </c>
      <c r="X42" s="52">
        <v>19</v>
      </c>
      <c r="Y42" s="52">
        <v>20</v>
      </c>
      <c r="Z42" s="52">
        <v>21</v>
      </c>
      <c r="AA42" s="52">
        <v>22</v>
      </c>
      <c r="AB42" s="52">
        <v>23</v>
      </c>
      <c r="AC42" s="52">
        <v>24</v>
      </c>
      <c r="AD42" s="52">
        <v>25</v>
      </c>
      <c r="AE42" s="52">
        <v>26</v>
      </c>
      <c r="AF42" s="52">
        <v>27</v>
      </c>
      <c r="AG42" s="44"/>
      <c r="AH42" s="49" t="s">
        <v>113</v>
      </c>
      <c r="AI42" s="53" t="s">
        <v>119</v>
      </c>
      <c r="AJ42" s="53" t="s">
        <v>120</v>
      </c>
      <c r="AK42" s="53" t="s">
        <v>121</v>
      </c>
      <c r="AL42" s="53" t="s">
        <v>122</v>
      </c>
      <c r="AM42" s="53" t="s">
        <v>123</v>
      </c>
      <c r="AO42" s="87" t="s">
        <v>168</v>
      </c>
      <c r="AP42" s="88" t="s">
        <v>186</v>
      </c>
      <c r="AQ42" s="13" t="s">
        <v>179</v>
      </c>
      <c r="AR42" s="88" t="s">
        <v>180</v>
      </c>
      <c r="AS42">
        <v>0</v>
      </c>
    </row>
    <row r="43" spans="1:50" x14ac:dyDescent="0.2">
      <c r="A43" s="44"/>
      <c r="B43" s="49">
        <v>1</v>
      </c>
      <c r="C43" s="54">
        <v>13636.75</v>
      </c>
      <c r="D43" s="54">
        <v>14265.25</v>
      </c>
      <c r="E43" s="54">
        <v>14893.95</v>
      </c>
      <c r="F43" s="54">
        <v>15522.5</v>
      </c>
      <c r="G43" s="54">
        <v>16129.1</v>
      </c>
      <c r="H43" s="54">
        <v>16735.650000000001</v>
      </c>
      <c r="I43" s="54">
        <v>17342.25</v>
      </c>
      <c r="J43" s="54">
        <v>17948.900000000001</v>
      </c>
      <c r="K43" s="54">
        <v>18214.3</v>
      </c>
      <c r="L43" s="54">
        <v>18480</v>
      </c>
      <c r="M43" s="54">
        <v>18745.55</v>
      </c>
      <c r="N43" s="54">
        <v>19011.099999999999</v>
      </c>
      <c r="O43" s="54">
        <v>19194.8</v>
      </c>
      <c r="P43" s="54">
        <v>19378.55</v>
      </c>
      <c r="Q43" s="54">
        <v>19562.3</v>
      </c>
      <c r="R43" s="54">
        <v>19746</v>
      </c>
      <c r="S43" s="54">
        <v>19929.55</v>
      </c>
      <c r="T43" s="54">
        <v>20113.349999999999</v>
      </c>
      <c r="U43" s="54">
        <v>20297.150000000001</v>
      </c>
      <c r="V43" s="54">
        <v>20480.849999999999</v>
      </c>
      <c r="W43" s="54">
        <v>20480.849999999999</v>
      </c>
      <c r="X43" s="54">
        <v>20579.55</v>
      </c>
      <c r="Y43" s="54">
        <v>20579.55</v>
      </c>
      <c r="Z43" s="54">
        <v>20678.400000000001</v>
      </c>
      <c r="AA43" s="54">
        <v>20678.400000000001</v>
      </c>
      <c r="AB43" s="54">
        <v>20777.349999999999</v>
      </c>
      <c r="AC43" s="54">
        <v>20777.349999999999</v>
      </c>
      <c r="AD43" s="54">
        <v>20876.25</v>
      </c>
      <c r="AE43" s="54">
        <v>20876.25</v>
      </c>
      <c r="AF43" s="54">
        <v>20975.15</v>
      </c>
      <c r="AG43" s="44"/>
      <c r="AH43" s="49">
        <v>1</v>
      </c>
      <c r="AI43" s="55">
        <f t="shared" ref="AI43:AI70" si="38">C43</f>
        <v>13636.75</v>
      </c>
      <c r="AJ43" s="56">
        <f t="shared" ref="AJ43:AJ70" si="39">F43</f>
        <v>15522.5</v>
      </c>
      <c r="AK43" s="57">
        <f>(AJ43+(($AF43-$F43)*0.25))</f>
        <v>16885.662499999999</v>
      </c>
      <c r="AL43" s="58">
        <f t="shared" ref="AL43:AM43" si="40">(AK43+(($AF43-$F43)*0.25))</f>
        <v>18248.824999999997</v>
      </c>
      <c r="AM43" s="59">
        <f t="shared" si="40"/>
        <v>19611.987499999996</v>
      </c>
      <c r="AO43" t="e">
        <f>IF(#REF!=Lohntabelle24!AH43,IF(AND(#REF!&lt;Lohntabelle24!AJ43,#REF!&gt;=Lohntabelle24!AI43),"Unterfunktionslohn",IF(AND(#REF!&lt;Lohntabelle24!AK43,#REF!&gt;=Lohntabelle24!AJ43),"1. Quartil",IF(AND(#REF!&lt;Lohntabelle24!AL43,#REF!&gt;=Lohntabelle24!AK43),"2. Quartil",IF(AND(#REF!&lt;Lohntabelle24!AM43,#REF!&gt;=Lohntabelle24!AL43),"3. Quartil",IF(AND(#REF!&gt;=Lohntabelle24!AM43,#REF!&lt;Lohntabelle24!AF43),"4. Quartil",IF(#REF!=Lohntabelle24!AF43,"höchsten Erfahrungswert","Lohnband prüfen")))))),"")</f>
        <v>#REF!</v>
      </c>
      <c r="AP43" t="e">
        <f t="shared" ref="AP43:AP70" si="41">IF(AR43="","",CONCATENATE(AR43,AQ43))</f>
        <v>#REF!</v>
      </c>
      <c r="AQ43" t="e">
        <f>IF(#REF!=Lohntabelle24!AH43,IF(AND(#REF!&lt;Lohntabelle24!AJ43,#REF!&gt;=Lohntabelle24!AI43),$AS$42,IF(AND(#REF!&lt;Lohntabelle24!AK43,#REF!&gt;=Lohntabelle24!AJ43),$AS$43,IF(AND(#REF!&lt;Lohntabelle24!AL43,#REF!&gt;=Lohntabelle24!AK43),$AS$44,IF(AND(#REF!&lt;Lohntabelle24!AM43,#REF!&gt;=Lohntabelle24!AL43),$AS$45,IF(AND(#REF!&gt;=Lohntabelle24!AM43,#REF!&lt;Lohntabelle24!AF43),$AS$46,IF(#REF!=Lohntabelle24!AF43,"höchster Erfahrungswert","Lohnband prüfen")))))),"")</f>
        <v>#REF!</v>
      </c>
      <c r="AR43" t="e">
        <f>IF(AQ43="","",IF(#REF!='Matrizen 23_24'!$A$3,"",VLOOKUP(#REF!,'Matrizen 23_24'!$A$4:$B$19,2,0)))</f>
        <v>#REF!</v>
      </c>
      <c r="AS43">
        <v>1</v>
      </c>
    </row>
    <row r="44" spans="1:50" x14ac:dyDescent="0.2">
      <c r="A44" s="44"/>
      <c r="B44" s="49">
        <v>2</v>
      </c>
      <c r="C44" s="54">
        <v>12900.4</v>
      </c>
      <c r="D44" s="54">
        <v>13493.75</v>
      </c>
      <c r="E44" s="54">
        <v>14087.25</v>
      </c>
      <c r="F44" s="54">
        <v>14680.7</v>
      </c>
      <c r="G44" s="54">
        <v>15253.35</v>
      </c>
      <c r="H44" s="54">
        <v>15826.15</v>
      </c>
      <c r="I44" s="54">
        <v>16398.8</v>
      </c>
      <c r="J44" s="54">
        <v>16971.5</v>
      </c>
      <c r="K44" s="54">
        <v>17222.150000000001</v>
      </c>
      <c r="L44" s="54">
        <v>17473</v>
      </c>
      <c r="M44" s="54">
        <v>17723.75</v>
      </c>
      <c r="N44" s="54">
        <v>17974.400000000001</v>
      </c>
      <c r="O44" s="54">
        <v>18155.3</v>
      </c>
      <c r="P44" s="54">
        <v>18336.25</v>
      </c>
      <c r="Q44" s="54">
        <v>18517.25</v>
      </c>
      <c r="R44" s="54">
        <v>18698</v>
      </c>
      <c r="S44" s="54">
        <v>18879.099999999999</v>
      </c>
      <c r="T44" s="54">
        <v>19059.849999999999</v>
      </c>
      <c r="U44" s="54">
        <v>19241.05</v>
      </c>
      <c r="V44" s="54">
        <v>19421.75</v>
      </c>
      <c r="W44" s="54">
        <v>19421.75</v>
      </c>
      <c r="X44" s="54">
        <v>19514.900000000001</v>
      </c>
      <c r="Y44" s="54">
        <v>19514.900000000001</v>
      </c>
      <c r="Z44" s="54">
        <v>19608.099999999999</v>
      </c>
      <c r="AA44" s="54">
        <v>19608.099999999999</v>
      </c>
      <c r="AB44" s="54">
        <v>19701.099999999999</v>
      </c>
      <c r="AC44" s="54">
        <v>19701.099999999999</v>
      </c>
      <c r="AD44" s="54">
        <v>19794.25</v>
      </c>
      <c r="AE44" s="54">
        <v>19794.25</v>
      </c>
      <c r="AF44" s="54">
        <v>19887.349999999999</v>
      </c>
      <c r="AG44" s="44"/>
      <c r="AH44" s="49">
        <v>2</v>
      </c>
      <c r="AI44" s="55">
        <f t="shared" si="38"/>
        <v>12900.4</v>
      </c>
      <c r="AJ44" s="56">
        <f t="shared" si="39"/>
        <v>14680.7</v>
      </c>
      <c r="AK44" s="57">
        <f t="shared" ref="AK44:AM59" si="42">(AJ44+(($AF44-$F44)*0.25))</f>
        <v>15982.362499999999</v>
      </c>
      <c r="AL44" s="58">
        <f t="shared" si="42"/>
        <v>17284.024999999998</v>
      </c>
      <c r="AM44" s="59">
        <f t="shared" si="42"/>
        <v>18585.687499999996</v>
      </c>
      <c r="AO44" t="e">
        <f>IF(#REF!=Lohntabelle24!AH44,IF(AND(#REF!&lt;Lohntabelle24!AJ44,#REF!&gt;=Lohntabelle24!AI44),"Unterfunktionslohn",IF(AND(#REF!&lt;Lohntabelle24!AK44,#REF!&gt;=Lohntabelle24!AJ44),"1. Quartil",IF(AND(#REF!&lt;Lohntabelle24!AL44,#REF!&gt;=Lohntabelle24!AK44),"2. Quartil",IF(AND(#REF!&lt;Lohntabelle24!AM44,#REF!&gt;=Lohntabelle24!AL44),"3. Quartil",IF(AND(#REF!&gt;=Lohntabelle24!AM44,#REF!&lt;Lohntabelle24!AF44),"4. Quartil",IF(#REF!=Lohntabelle24!AF44,"höchsten Erfahrungswert","Lohnband prüfen")))))),"")</f>
        <v>#REF!</v>
      </c>
      <c r="AP44" t="e">
        <f t="shared" si="41"/>
        <v>#REF!</v>
      </c>
      <c r="AQ44" t="e">
        <f>IF(#REF!=Lohntabelle24!AH44,IF(AND(#REF!&lt;Lohntabelle24!AJ44,#REF!&gt;=Lohntabelle24!AI44),$AS$42,IF(AND(#REF!&lt;Lohntabelle24!AK44,#REF!&gt;=Lohntabelle24!AJ44),$AS$43,IF(AND(#REF!&lt;Lohntabelle24!AL44,#REF!&gt;=Lohntabelle24!AK44),$AS$44,IF(AND(#REF!&lt;Lohntabelle24!AM44,#REF!&gt;=Lohntabelle24!AL44),$AS$45,IF(AND(#REF!&gt;=Lohntabelle24!AM44,#REF!&lt;Lohntabelle24!AF44),$AS$46,IF(#REF!=Lohntabelle24!AF44,"höchster Erfahrungswert","Lohnband prüfen")))))),"")</f>
        <v>#REF!</v>
      </c>
      <c r="AR44" t="e">
        <f>IF(AQ44="","",IF(#REF!='Matrizen 23_24'!$A$3,"",VLOOKUP(#REF!,'Matrizen 23_24'!$A$4:$B$19,2,0)))</f>
        <v>#REF!</v>
      </c>
      <c r="AS44">
        <v>2</v>
      </c>
    </row>
    <row r="45" spans="1:50" x14ac:dyDescent="0.2">
      <c r="A45" s="44"/>
      <c r="B45" s="49">
        <v>3</v>
      </c>
      <c r="C45" s="54">
        <v>12163.7</v>
      </c>
      <c r="D45" s="54">
        <v>12722.05</v>
      </c>
      <c r="E45" s="54">
        <v>13280.45</v>
      </c>
      <c r="F45" s="54">
        <v>13838.95</v>
      </c>
      <c r="G45" s="54">
        <v>14377.6</v>
      </c>
      <c r="H45" s="54">
        <v>14916.5</v>
      </c>
      <c r="I45" s="54">
        <v>15455.35</v>
      </c>
      <c r="J45" s="54">
        <v>15993.95</v>
      </c>
      <c r="K45" s="54">
        <v>16229.85</v>
      </c>
      <c r="L45" s="54">
        <v>16465.95</v>
      </c>
      <c r="M45" s="54">
        <v>16701.8</v>
      </c>
      <c r="N45" s="54">
        <v>16937.7</v>
      </c>
      <c r="O45" s="54">
        <v>17115.900000000001</v>
      </c>
      <c r="P45" s="54">
        <v>17294.099999999999</v>
      </c>
      <c r="Q45" s="54">
        <v>17472.3</v>
      </c>
      <c r="R45" s="54">
        <v>17650.5</v>
      </c>
      <c r="S45" s="54">
        <v>17828.650000000001</v>
      </c>
      <c r="T45" s="54">
        <v>18006.849999999999</v>
      </c>
      <c r="U45" s="54">
        <v>18185.05</v>
      </c>
      <c r="V45" s="54">
        <v>18363.150000000001</v>
      </c>
      <c r="W45" s="54">
        <v>18363.150000000001</v>
      </c>
      <c r="X45" s="54">
        <v>18450.55</v>
      </c>
      <c r="Y45" s="54">
        <v>18450.55</v>
      </c>
      <c r="Z45" s="54">
        <v>18537.849999999999</v>
      </c>
      <c r="AA45" s="54">
        <v>18537.849999999999</v>
      </c>
      <c r="AB45" s="54">
        <v>18625.3</v>
      </c>
      <c r="AC45" s="54">
        <v>18625.3</v>
      </c>
      <c r="AD45" s="54">
        <v>18712.650000000001</v>
      </c>
      <c r="AE45" s="54">
        <v>18712.650000000001</v>
      </c>
      <c r="AF45" s="54">
        <v>18799.900000000001</v>
      </c>
      <c r="AG45" s="44"/>
      <c r="AH45" s="49">
        <v>3</v>
      </c>
      <c r="AI45" s="55">
        <f t="shared" si="38"/>
        <v>12163.7</v>
      </c>
      <c r="AJ45" s="56">
        <f t="shared" si="39"/>
        <v>13838.95</v>
      </c>
      <c r="AK45" s="57">
        <f t="shared" si="42"/>
        <v>15079.1875</v>
      </c>
      <c r="AL45" s="58">
        <f t="shared" si="42"/>
        <v>16319.424999999999</v>
      </c>
      <c r="AM45" s="59">
        <f t="shared" si="42"/>
        <v>17559.662499999999</v>
      </c>
      <c r="AO45" t="e">
        <f>IF(#REF!=Lohntabelle24!AH45,IF(AND(#REF!&lt;Lohntabelle24!AJ45,#REF!&gt;=Lohntabelle24!AI45),"Unterfunktionslohn",IF(AND(#REF!&lt;Lohntabelle24!AK45,#REF!&gt;=Lohntabelle24!AJ45),"1. Quartil",IF(AND(#REF!&lt;Lohntabelle24!AL45,#REF!&gt;=Lohntabelle24!AK45),"2. Quartil",IF(AND(#REF!&lt;Lohntabelle24!AM45,#REF!&gt;=Lohntabelle24!AL45),"3. Quartil",IF(AND(#REF!&gt;=Lohntabelle24!AM45,#REF!&lt;Lohntabelle24!AF45),"4. Quartil",IF(#REF!=Lohntabelle24!AF45,"höchsten Erfahrungswert","Lohnband prüfen")))))),"")</f>
        <v>#REF!</v>
      </c>
      <c r="AP45" t="e">
        <f t="shared" si="41"/>
        <v>#REF!</v>
      </c>
      <c r="AQ45" t="e">
        <f>IF(#REF!=Lohntabelle24!AH45,IF(AND(#REF!&lt;Lohntabelle24!AJ45,#REF!&gt;=Lohntabelle24!AI45),$AS$42,IF(AND(#REF!&lt;Lohntabelle24!AK45,#REF!&gt;=Lohntabelle24!AJ45),$AS$43,IF(AND(#REF!&lt;Lohntabelle24!AL45,#REF!&gt;=Lohntabelle24!AK45),$AS$44,IF(AND(#REF!&lt;Lohntabelle24!AM45,#REF!&gt;=Lohntabelle24!AL45),$AS$45,IF(AND(#REF!&gt;=Lohntabelle24!AM45,#REF!&lt;Lohntabelle24!AF45),$AS$46,IF(#REF!=Lohntabelle24!AF45,"höchster Erfahrungswert","Lohnband prüfen")))))),"")</f>
        <v>#REF!</v>
      </c>
      <c r="AR45" t="e">
        <f>IF(AQ45="","",IF(#REF!='Matrizen 23_24'!$A$3,"",VLOOKUP(#REF!,'Matrizen 23_24'!$A$4:$B$19,2,0)))</f>
        <v>#REF!</v>
      </c>
      <c r="AS45">
        <v>3</v>
      </c>
    </row>
    <row r="46" spans="1:50" x14ac:dyDescent="0.2">
      <c r="A46" s="44"/>
      <c r="B46" s="49">
        <v>4</v>
      </c>
      <c r="C46" s="54">
        <v>11427.3</v>
      </c>
      <c r="D46" s="54">
        <v>11950.45</v>
      </c>
      <c r="E46" s="54">
        <v>12473.75</v>
      </c>
      <c r="F46" s="54">
        <v>12997</v>
      </c>
      <c r="G46" s="54">
        <v>13502.1</v>
      </c>
      <c r="H46" s="54">
        <v>14006.95</v>
      </c>
      <c r="I46" s="54">
        <v>14512.05</v>
      </c>
      <c r="J46" s="54">
        <v>15017.1</v>
      </c>
      <c r="K46" s="54">
        <v>15238.25</v>
      </c>
      <c r="L46" s="54">
        <v>15459.35</v>
      </c>
      <c r="M46" s="54">
        <v>15680.5</v>
      </c>
      <c r="N46" s="54">
        <v>15901.5</v>
      </c>
      <c r="O46" s="54">
        <v>16076.85</v>
      </c>
      <c r="P46" s="54">
        <v>16252.25</v>
      </c>
      <c r="Q46" s="54">
        <v>16427.7</v>
      </c>
      <c r="R46" s="54">
        <v>16603.099999999999</v>
      </c>
      <c r="S46" s="54">
        <v>16778.349999999999</v>
      </c>
      <c r="T46" s="54">
        <v>16953.8</v>
      </c>
      <c r="U46" s="54">
        <v>17129.150000000001</v>
      </c>
      <c r="V46" s="54">
        <v>17304.55</v>
      </c>
      <c r="W46" s="54">
        <v>17304.55</v>
      </c>
      <c r="X46" s="54">
        <v>17386.2</v>
      </c>
      <c r="Y46" s="54">
        <v>17386.2</v>
      </c>
      <c r="Z46" s="54">
        <v>17467.7</v>
      </c>
      <c r="AA46" s="54">
        <v>17467.7</v>
      </c>
      <c r="AB46" s="54">
        <v>17549.400000000001</v>
      </c>
      <c r="AC46" s="54">
        <v>17549.400000000001</v>
      </c>
      <c r="AD46" s="54">
        <v>17630.849999999999</v>
      </c>
      <c r="AE46" s="54">
        <v>17630.849999999999</v>
      </c>
      <c r="AF46" s="54">
        <v>17712.650000000001</v>
      </c>
      <c r="AG46" s="44"/>
      <c r="AH46" s="49">
        <v>4</v>
      </c>
      <c r="AI46" s="55">
        <f t="shared" si="38"/>
        <v>11427.3</v>
      </c>
      <c r="AJ46" s="56">
        <f t="shared" si="39"/>
        <v>12997</v>
      </c>
      <c r="AK46" s="57">
        <f t="shared" si="42"/>
        <v>14175.9125</v>
      </c>
      <c r="AL46" s="58">
        <f t="shared" si="42"/>
        <v>15354.825000000001</v>
      </c>
      <c r="AM46" s="59">
        <f t="shared" si="42"/>
        <v>16533.737500000003</v>
      </c>
      <c r="AO46" t="e">
        <f>IF(#REF!=Lohntabelle24!AH46,IF(AND(#REF!&lt;Lohntabelle24!AJ46,#REF!&gt;=Lohntabelle24!AI46),"Unterfunktionslohn",IF(AND(#REF!&lt;Lohntabelle24!AK46,#REF!&gt;=Lohntabelle24!AJ46),"1. Quartil",IF(AND(#REF!&lt;Lohntabelle24!AL46,#REF!&gt;=Lohntabelle24!AK46),"2. Quartil",IF(AND(#REF!&lt;Lohntabelle24!AM46,#REF!&gt;=Lohntabelle24!AL46),"3. Quartil",IF(AND(#REF!&gt;=Lohntabelle24!AM46,#REF!&lt;Lohntabelle24!AF46),"4. Quartil",IF(#REF!=Lohntabelle24!AF46,"höchsten Erfahrungswert","Lohnband prüfen")))))),"")</f>
        <v>#REF!</v>
      </c>
      <c r="AP46" t="e">
        <f t="shared" si="41"/>
        <v>#REF!</v>
      </c>
      <c r="AQ46" t="e">
        <f>IF(#REF!=Lohntabelle24!AH46,IF(AND(#REF!&lt;Lohntabelle24!AJ46,#REF!&gt;=Lohntabelle24!AI46),$AS$42,IF(AND(#REF!&lt;Lohntabelle24!AK46,#REF!&gt;=Lohntabelle24!AJ46),$AS$43,IF(AND(#REF!&lt;Lohntabelle24!AL46,#REF!&gt;=Lohntabelle24!AK46),$AS$44,IF(AND(#REF!&lt;Lohntabelle24!AM46,#REF!&gt;=Lohntabelle24!AL46),$AS$45,IF(AND(#REF!&gt;=Lohntabelle24!AM46,#REF!&lt;Lohntabelle24!AF46),$AS$46,IF(#REF!=Lohntabelle24!AF46,"höchster Erfahrungswert","Lohnband prüfen")))))),"")</f>
        <v>#REF!</v>
      </c>
      <c r="AR46" t="e">
        <f>IF(AQ46="","",IF(#REF!='Matrizen 23_24'!$A$3,"",VLOOKUP(#REF!,'Matrizen 23_24'!$A$4:$B$19,2,0)))</f>
        <v>#REF!</v>
      </c>
      <c r="AS46">
        <v>4</v>
      </c>
    </row>
    <row r="47" spans="1:50" x14ac:dyDescent="0.2">
      <c r="A47" s="44"/>
      <c r="B47" s="49">
        <v>5</v>
      </c>
      <c r="C47" s="54">
        <v>10690.25</v>
      </c>
      <c r="D47" s="54">
        <v>11178.45</v>
      </c>
      <c r="E47" s="54">
        <v>11666.7</v>
      </c>
      <c r="F47" s="54">
        <v>12155.05</v>
      </c>
      <c r="G47" s="54">
        <v>12626.15</v>
      </c>
      <c r="H47" s="54">
        <v>13097.4</v>
      </c>
      <c r="I47" s="54">
        <v>13568.55</v>
      </c>
      <c r="J47" s="54">
        <v>14039.8</v>
      </c>
      <c r="K47" s="54">
        <v>14246.1</v>
      </c>
      <c r="L47" s="54">
        <v>14452.35</v>
      </c>
      <c r="M47" s="54">
        <v>14658.7</v>
      </c>
      <c r="N47" s="54">
        <v>14865</v>
      </c>
      <c r="O47" s="54">
        <v>15036.25</v>
      </c>
      <c r="P47" s="54">
        <v>15207.55</v>
      </c>
      <c r="Q47" s="54">
        <v>15378.6</v>
      </c>
      <c r="R47" s="54">
        <v>15549.95</v>
      </c>
      <c r="S47" s="54">
        <v>15721.25</v>
      </c>
      <c r="T47" s="54">
        <v>15892.5</v>
      </c>
      <c r="U47" s="54">
        <v>16063.8</v>
      </c>
      <c r="V47" s="54">
        <v>16235</v>
      </c>
      <c r="W47" s="54">
        <v>16235</v>
      </c>
      <c r="X47" s="54">
        <v>16312.95</v>
      </c>
      <c r="Y47" s="54">
        <v>16312.95</v>
      </c>
      <c r="Z47" s="54">
        <v>16391.05</v>
      </c>
      <c r="AA47" s="54">
        <v>16391.05</v>
      </c>
      <c r="AB47" s="54">
        <v>16469.05</v>
      </c>
      <c r="AC47" s="54">
        <v>16469.05</v>
      </c>
      <c r="AD47" s="54">
        <v>16547.05</v>
      </c>
      <c r="AE47" s="54">
        <v>16547.05</v>
      </c>
      <c r="AF47" s="54">
        <v>16625.25</v>
      </c>
      <c r="AG47" s="44"/>
      <c r="AH47" s="49">
        <v>5</v>
      </c>
      <c r="AI47" s="55">
        <f t="shared" si="38"/>
        <v>10690.25</v>
      </c>
      <c r="AJ47" s="56">
        <f t="shared" si="39"/>
        <v>12155.05</v>
      </c>
      <c r="AK47" s="57">
        <f t="shared" si="42"/>
        <v>13272.599999999999</v>
      </c>
      <c r="AL47" s="58">
        <f t="shared" si="42"/>
        <v>14390.149999999998</v>
      </c>
      <c r="AM47" s="59">
        <f t="shared" si="42"/>
        <v>15507.699999999997</v>
      </c>
      <c r="AO47" t="e">
        <f>IF(#REF!=Lohntabelle24!AH47,IF(AND(#REF!&lt;Lohntabelle24!AJ47,#REF!&gt;=Lohntabelle24!AI47),"Unterfunktionslohn",IF(AND(#REF!&lt;Lohntabelle24!AK47,#REF!&gt;=Lohntabelle24!AJ47),"1. Quartil",IF(AND(#REF!&lt;Lohntabelle24!AL47,#REF!&gt;=Lohntabelle24!AK47),"2. Quartil",IF(AND(#REF!&lt;Lohntabelle24!AM47,#REF!&gt;=Lohntabelle24!AL47),"3. Quartil",IF(AND(#REF!&gt;=Lohntabelle24!AM47,#REF!&lt;Lohntabelle24!AF47),"4. Quartil",IF(#REF!=Lohntabelle24!AF47,"höchsten Erfahrungswert","Lohnband prüfen")))))),"")</f>
        <v>#REF!</v>
      </c>
      <c r="AP47" t="e">
        <f t="shared" si="41"/>
        <v>#REF!</v>
      </c>
      <c r="AQ47" t="e">
        <f>IF(#REF!=Lohntabelle24!AH47,IF(AND(#REF!&lt;Lohntabelle24!AJ47,#REF!&gt;=Lohntabelle24!AI47),$AS$42,IF(AND(#REF!&lt;Lohntabelle24!AK47,#REF!&gt;=Lohntabelle24!AJ47),$AS$43,IF(AND(#REF!&lt;Lohntabelle24!AL47,#REF!&gt;=Lohntabelle24!AK47),$AS$44,IF(AND(#REF!&lt;Lohntabelle24!AM47,#REF!&gt;=Lohntabelle24!AL47),$AS$45,IF(AND(#REF!&gt;=Lohntabelle24!AM47,#REF!&lt;Lohntabelle24!AF47),$AS$46,IF(#REF!=Lohntabelle24!AF47,"höchster Erfahrungswert","Lohnband prüfen")))))),"")</f>
        <v>#REF!</v>
      </c>
      <c r="AR47" t="e">
        <f>IF(AQ47="","",IF(#REF!='Matrizen 23_24'!$A$3,"",VLOOKUP(#REF!,'Matrizen 23_24'!$A$4:$B$19,2,0)))</f>
        <v>#REF!</v>
      </c>
    </row>
    <row r="48" spans="1:50" x14ac:dyDescent="0.2">
      <c r="A48" s="44"/>
      <c r="B48" s="49">
        <v>6</v>
      </c>
      <c r="C48" s="54">
        <v>9953.75</v>
      </c>
      <c r="D48" s="54">
        <v>10406.85</v>
      </c>
      <c r="E48" s="54">
        <v>10860.15</v>
      </c>
      <c r="F48" s="54">
        <v>11313.2</v>
      </c>
      <c r="G48" s="54">
        <v>11750.6</v>
      </c>
      <c r="H48" s="54">
        <v>12187.95</v>
      </c>
      <c r="I48" s="54">
        <v>12625.25</v>
      </c>
      <c r="J48" s="54">
        <v>13062.55</v>
      </c>
      <c r="K48" s="54">
        <v>13254</v>
      </c>
      <c r="L48" s="54">
        <v>13445.45</v>
      </c>
      <c r="M48" s="54">
        <v>13636.95</v>
      </c>
      <c r="N48" s="54">
        <v>13828.35</v>
      </c>
      <c r="O48" s="54">
        <v>13995.8</v>
      </c>
      <c r="P48" s="54">
        <v>14163</v>
      </c>
      <c r="Q48" s="54">
        <v>14330.35</v>
      </c>
      <c r="R48" s="54">
        <v>14497.65</v>
      </c>
      <c r="S48" s="54">
        <v>14665.05</v>
      </c>
      <c r="T48" s="54">
        <v>14832.35</v>
      </c>
      <c r="U48" s="54">
        <v>14999.6</v>
      </c>
      <c r="V48" s="54">
        <v>15166.9</v>
      </c>
      <c r="W48" s="54">
        <v>15166.9</v>
      </c>
      <c r="X48" s="54">
        <v>15241.2</v>
      </c>
      <c r="Y48" s="54">
        <v>15241.2</v>
      </c>
      <c r="Z48" s="54">
        <v>15315.45</v>
      </c>
      <c r="AA48" s="54">
        <v>15315.45</v>
      </c>
      <c r="AB48" s="54">
        <v>15389.65</v>
      </c>
      <c r="AC48" s="54">
        <v>15389.65</v>
      </c>
      <c r="AD48" s="54">
        <v>15463.85</v>
      </c>
      <c r="AE48" s="54">
        <v>15463.85</v>
      </c>
      <c r="AF48" s="54">
        <v>15538.15</v>
      </c>
      <c r="AG48" s="44"/>
      <c r="AH48" s="49">
        <v>6</v>
      </c>
      <c r="AI48" s="55">
        <f t="shared" si="38"/>
        <v>9953.75</v>
      </c>
      <c r="AJ48" s="56">
        <f t="shared" si="39"/>
        <v>11313.2</v>
      </c>
      <c r="AK48" s="57">
        <f t="shared" si="42"/>
        <v>12369.4375</v>
      </c>
      <c r="AL48" s="58">
        <f t="shared" si="42"/>
        <v>13425.674999999999</v>
      </c>
      <c r="AM48" s="59">
        <f t="shared" si="42"/>
        <v>14481.912499999999</v>
      </c>
      <c r="AO48" t="e">
        <f>IF(#REF!=Lohntabelle24!AH48,IF(AND(#REF!&lt;Lohntabelle24!AJ48,#REF!&gt;=Lohntabelle24!AI48),"Unterfunktionslohn",IF(AND(#REF!&lt;Lohntabelle24!AK48,#REF!&gt;=Lohntabelle24!AJ48),"1. Quartil",IF(AND(#REF!&lt;Lohntabelle24!AL48,#REF!&gt;=Lohntabelle24!AK48),"2. Quartil",IF(AND(#REF!&lt;Lohntabelle24!AM48,#REF!&gt;=Lohntabelle24!AL48),"3. Quartil",IF(AND(#REF!&gt;=Lohntabelle24!AM48,#REF!&lt;Lohntabelle24!AF48),"4. Quartil",IF(#REF!=Lohntabelle24!AF48,"höchsten Erfahrungswert","Lohnband prüfen")))))),"")</f>
        <v>#REF!</v>
      </c>
      <c r="AP48" t="e">
        <f t="shared" si="41"/>
        <v>#REF!</v>
      </c>
      <c r="AQ48" t="e">
        <f>IF(#REF!=Lohntabelle24!AH48,IF(AND(#REF!&lt;Lohntabelle24!AJ48,#REF!&gt;=Lohntabelle24!AI48),$AS$42,IF(AND(#REF!&lt;Lohntabelle24!AK48,#REF!&gt;=Lohntabelle24!AJ48),$AS$43,IF(AND(#REF!&lt;Lohntabelle24!AL48,#REF!&gt;=Lohntabelle24!AK48),$AS$44,IF(AND(#REF!&lt;Lohntabelle24!AM48,#REF!&gt;=Lohntabelle24!AL48),$AS$45,IF(AND(#REF!&gt;=Lohntabelle24!AM48,#REF!&lt;Lohntabelle24!AF48),$AS$46,IF(#REF!=Lohntabelle24!AF48,"höchster Erfahrungswert","Lohnband prüfen")))))),"")</f>
        <v>#REF!</v>
      </c>
      <c r="AR48" t="e">
        <f>IF(AQ48="","",IF(#REF!='Matrizen 23_24'!$A$3,"",VLOOKUP(#REF!,'Matrizen 23_24'!$A$4:$B$19,2,0)))</f>
        <v>#REF!</v>
      </c>
    </row>
    <row r="49" spans="1:44" x14ac:dyDescent="0.2">
      <c r="A49" s="44"/>
      <c r="B49" s="49">
        <v>7</v>
      </c>
      <c r="C49" s="54">
        <v>9209.2000000000007</v>
      </c>
      <c r="D49" s="54">
        <v>9629.9500000000007</v>
      </c>
      <c r="E49" s="54">
        <v>10050.65</v>
      </c>
      <c r="F49" s="54">
        <v>10471.450000000001</v>
      </c>
      <c r="G49" s="54">
        <v>10874.85</v>
      </c>
      <c r="H49" s="54">
        <v>11278.3</v>
      </c>
      <c r="I49" s="54">
        <v>11681.85</v>
      </c>
      <c r="J49" s="54">
        <v>12085.2</v>
      </c>
      <c r="K49" s="54">
        <v>12261.9</v>
      </c>
      <c r="L49" s="54">
        <v>12438.55</v>
      </c>
      <c r="M49" s="54">
        <v>12615.05</v>
      </c>
      <c r="N49" s="54">
        <v>12791.7</v>
      </c>
      <c r="O49" s="54">
        <v>12954.5</v>
      </c>
      <c r="P49" s="54">
        <v>13117.5</v>
      </c>
      <c r="Q49" s="54">
        <v>13280.35</v>
      </c>
      <c r="R49" s="54">
        <v>13443.25</v>
      </c>
      <c r="S49" s="54">
        <v>13606.3</v>
      </c>
      <c r="T49" s="54">
        <v>13769.1</v>
      </c>
      <c r="U49" s="54">
        <v>13931.95</v>
      </c>
      <c r="V49" s="54">
        <v>14094.95</v>
      </c>
      <c r="W49" s="54">
        <v>14094.95</v>
      </c>
      <c r="X49" s="54">
        <v>14165.95</v>
      </c>
      <c r="Y49" s="54">
        <v>14165.95</v>
      </c>
      <c r="Z49" s="54">
        <v>14237.05</v>
      </c>
      <c r="AA49" s="54">
        <v>14237.05</v>
      </c>
      <c r="AB49" s="54">
        <v>14308.25</v>
      </c>
      <c r="AC49" s="54">
        <v>14308.25</v>
      </c>
      <c r="AD49" s="54">
        <v>14379.2</v>
      </c>
      <c r="AE49" s="54">
        <v>14379.2</v>
      </c>
      <c r="AF49" s="54">
        <v>14450.25</v>
      </c>
      <c r="AG49" s="44"/>
      <c r="AH49" s="49">
        <v>7</v>
      </c>
      <c r="AI49" s="55">
        <f t="shared" si="38"/>
        <v>9209.2000000000007</v>
      </c>
      <c r="AJ49" s="56">
        <f t="shared" si="39"/>
        <v>10471.450000000001</v>
      </c>
      <c r="AK49" s="57">
        <f t="shared" si="42"/>
        <v>11466.150000000001</v>
      </c>
      <c r="AL49" s="58">
        <f t="shared" si="42"/>
        <v>12460.850000000002</v>
      </c>
      <c r="AM49" s="59">
        <f t="shared" si="42"/>
        <v>13455.550000000003</v>
      </c>
      <c r="AO49" t="e">
        <f>IF(#REF!=Lohntabelle24!AH49,IF(AND(#REF!&lt;Lohntabelle24!AJ49,#REF!&gt;=Lohntabelle24!AI49),"Unterfunktionslohn",IF(AND(#REF!&lt;Lohntabelle24!AK49,#REF!&gt;=Lohntabelle24!AJ49),"1. Quartil",IF(AND(#REF!&lt;Lohntabelle24!AL49,#REF!&gt;=Lohntabelle24!AK49),"2. Quartil",IF(AND(#REF!&lt;Lohntabelle24!AM49,#REF!&gt;=Lohntabelle24!AL49),"3. Quartil",IF(AND(#REF!&gt;=Lohntabelle24!AM49,#REF!&lt;Lohntabelle24!AF49),"4. Quartil",IF(#REF!=Lohntabelle24!AF49,"höchsten Erfahrungswert","Lohnband prüfen")))))),"")</f>
        <v>#REF!</v>
      </c>
      <c r="AP49" t="e">
        <f t="shared" si="41"/>
        <v>#REF!</v>
      </c>
      <c r="AQ49" t="e">
        <f>IF(#REF!=Lohntabelle24!AH49,IF(AND(#REF!&lt;Lohntabelle24!AJ49,#REF!&gt;=Lohntabelle24!AI49),$AS$42,IF(AND(#REF!&lt;Lohntabelle24!AK49,#REF!&gt;=Lohntabelle24!AJ49),$AS$43,IF(AND(#REF!&lt;Lohntabelle24!AL49,#REF!&gt;=Lohntabelle24!AK49),$AS$44,IF(AND(#REF!&lt;Lohntabelle24!AM49,#REF!&gt;=Lohntabelle24!AL49),$AS$45,IF(AND(#REF!&gt;=Lohntabelle24!AM49,#REF!&lt;Lohntabelle24!AF49),$AS$46,IF(#REF!=Lohntabelle24!AF49,"höchster Erfahrungswert","Lohnband prüfen")))))),"")</f>
        <v>#REF!</v>
      </c>
      <c r="AR49" t="e">
        <f>IF(AQ49="","",IF(#REF!='Matrizen 23_24'!$A$3,"",VLOOKUP(#REF!,'Matrizen 23_24'!$A$4:$B$19,2,0)))</f>
        <v>#REF!</v>
      </c>
    </row>
    <row r="50" spans="1:44" x14ac:dyDescent="0.2">
      <c r="A50" s="44"/>
      <c r="B50" s="49">
        <v>8</v>
      </c>
      <c r="C50" s="54">
        <v>8530.5499999999993</v>
      </c>
      <c r="D50" s="54">
        <v>8924.4500000000007</v>
      </c>
      <c r="E50" s="54">
        <v>9318.2999999999993</v>
      </c>
      <c r="F50" s="54">
        <v>9712.15</v>
      </c>
      <c r="G50" s="54">
        <v>10084.85</v>
      </c>
      <c r="H50" s="54">
        <v>10457.5</v>
      </c>
      <c r="I50" s="54">
        <v>10830.45</v>
      </c>
      <c r="J50" s="54">
        <v>11203.1</v>
      </c>
      <c r="K50" s="54">
        <v>11366.05</v>
      </c>
      <c r="L50" s="54">
        <v>11529.15</v>
      </c>
      <c r="M50" s="54">
        <v>11692.25</v>
      </c>
      <c r="N50" s="54">
        <v>11855.35</v>
      </c>
      <c r="O50" s="54">
        <v>12003.7</v>
      </c>
      <c r="P50" s="54">
        <v>12152.1</v>
      </c>
      <c r="Q50" s="54">
        <v>12300.45</v>
      </c>
      <c r="R50" s="54">
        <v>12448.85</v>
      </c>
      <c r="S50" s="54">
        <v>12597.2</v>
      </c>
      <c r="T50" s="54">
        <v>12745.65</v>
      </c>
      <c r="U50" s="54">
        <v>12893.95</v>
      </c>
      <c r="V50" s="54">
        <v>13042.25</v>
      </c>
      <c r="W50" s="54">
        <v>13042.25</v>
      </c>
      <c r="X50" s="54">
        <v>13107.25</v>
      </c>
      <c r="Y50" s="54">
        <v>13107.25</v>
      </c>
      <c r="Z50" s="54">
        <v>13171.95</v>
      </c>
      <c r="AA50" s="54">
        <v>13171.95</v>
      </c>
      <c r="AB50" s="54">
        <v>13236.85</v>
      </c>
      <c r="AC50" s="54">
        <v>13236.85</v>
      </c>
      <c r="AD50" s="54">
        <v>13301.65</v>
      </c>
      <c r="AE50" s="54">
        <v>13301.65</v>
      </c>
      <c r="AF50" s="54">
        <v>13366.55</v>
      </c>
      <c r="AG50" s="44"/>
      <c r="AH50" s="49">
        <v>8</v>
      </c>
      <c r="AI50" s="55">
        <f t="shared" si="38"/>
        <v>8530.5499999999993</v>
      </c>
      <c r="AJ50" s="56">
        <f t="shared" si="39"/>
        <v>9712.15</v>
      </c>
      <c r="AK50" s="57">
        <f t="shared" si="42"/>
        <v>10625.75</v>
      </c>
      <c r="AL50" s="58">
        <f t="shared" si="42"/>
        <v>11539.35</v>
      </c>
      <c r="AM50" s="59">
        <f t="shared" si="42"/>
        <v>12452.95</v>
      </c>
      <c r="AO50" t="e">
        <f>IF(#REF!=Lohntabelle24!AH50,IF(AND(#REF!&lt;Lohntabelle24!AJ50,#REF!&gt;=Lohntabelle24!AI50),"Unterfunktionslohn",IF(AND(#REF!&lt;Lohntabelle24!AK50,#REF!&gt;=Lohntabelle24!AJ50),"1. Quartil",IF(AND(#REF!&lt;Lohntabelle24!AL50,#REF!&gt;=Lohntabelle24!AK50),"2. Quartil",IF(AND(#REF!&lt;Lohntabelle24!AM50,#REF!&gt;=Lohntabelle24!AL50),"3. Quartil",IF(AND(#REF!&gt;=Lohntabelle24!AM50,#REF!&lt;Lohntabelle24!AF50),"4. Quartil",IF(#REF!=Lohntabelle24!AF50,"höchsten Erfahrungswert","Lohnband prüfen")))))),"")</f>
        <v>#REF!</v>
      </c>
      <c r="AP50" t="e">
        <f t="shared" si="41"/>
        <v>#REF!</v>
      </c>
      <c r="AQ50" t="e">
        <f>IF(#REF!=Lohntabelle24!AH50,IF(AND(#REF!&lt;Lohntabelle24!AJ50,#REF!&gt;=Lohntabelle24!AI50),$AS$42,IF(AND(#REF!&lt;Lohntabelle24!AK50,#REF!&gt;=Lohntabelle24!AJ50),$AS$43,IF(AND(#REF!&lt;Lohntabelle24!AL50,#REF!&gt;=Lohntabelle24!AK50),$AS$44,IF(AND(#REF!&lt;Lohntabelle24!AM50,#REF!&gt;=Lohntabelle24!AL50),$AS$45,IF(AND(#REF!&gt;=Lohntabelle24!AM50,#REF!&lt;Lohntabelle24!AF50),$AS$46,IF(#REF!=Lohntabelle24!AF50,"höchster Erfahrungswert","Lohnband prüfen")))))),"")</f>
        <v>#REF!</v>
      </c>
      <c r="AR50" t="e">
        <f>IF(AQ50="","",IF(#REF!='Matrizen 23_24'!$A$3,"",VLOOKUP(#REF!,'Matrizen 23_24'!$A$4:$B$19,2,0)))</f>
        <v>#REF!</v>
      </c>
    </row>
    <row r="51" spans="1:44" x14ac:dyDescent="0.2">
      <c r="A51" s="44"/>
      <c r="B51" s="49">
        <v>9</v>
      </c>
      <c r="C51" s="54">
        <v>7925.4</v>
      </c>
      <c r="D51" s="54">
        <v>8291.35</v>
      </c>
      <c r="E51" s="54">
        <v>8657.35</v>
      </c>
      <c r="F51" s="54">
        <v>9023.5</v>
      </c>
      <c r="G51" s="54">
        <v>9370.7999999999993</v>
      </c>
      <c r="H51" s="54">
        <v>9718.15</v>
      </c>
      <c r="I51" s="54">
        <v>10065.700000000001</v>
      </c>
      <c r="J51" s="54">
        <v>10413</v>
      </c>
      <c r="K51" s="54">
        <v>10565.05</v>
      </c>
      <c r="L51" s="54">
        <v>10717</v>
      </c>
      <c r="M51" s="54">
        <v>10869</v>
      </c>
      <c r="N51" s="54">
        <v>11021.05</v>
      </c>
      <c r="O51" s="54">
        <v>11154.95</v>
      </c>
      <c r="P51" s="54">
        <v>11288.75</v>
      </c>
      <c r="Q51" s="54">
        <v>11422.6</v>
      </c>
      <c r="R51" s="54">
        <v>11556.5</v>
      </c>
      <c r="S51" s="54">
        <v>11690.3</v>
      </c>
      <c r="T51" s="54">
        <v>11824.15</v>
      </c>
      <c r="U51" s="54">
        <v>11957.9</v>
      </c>
      <c r="V51" s="54">
        <v>12091.8</v>
      </c>
      <c r="W51" s="54">
        <v>12091.8</v>
      </c>
      <c r="X51" s="54">
        <v>12151.15</v>
      </c>
      <c r="Y51" s="54">
        <v>12151.15</v>
      </c>
      <c r="Z51" s="54">
        <v>12210.4</v>
      </c>
      <c r="AA51" s="54">
        <v>12210.4</v>
      </c>
      <c r="AB51" s="54">
        <v>12269.7</v>
      </c>
      <c r="AC51" s="54">
        <v>12269.7</v>
      </c>
      <c r="AD51" s="54">
        <v>12329.05</v>
      </c>
      <c r="AE51" s="54">
        <v>12329.05</v>
      </c>
      <c r="AF51" s="54">
        <v>12388.4</v>
      </c>
      <c r="AG51" s="44"/>
      <c r="AH51" s="49">
        <v>9</v>
      </c>
      <c r="AI51" s="55">
        <f t="shared" si="38"/>
        <v>7925.4</v>
      </c>
      <c r="AJ51" s="56">
        <f t="shared" si="39"/>
        <v>9023.5</v>
      </c>
      <c r="AK51" s="57">
        <f t="shared" si="42"/>
        <v>9864.7250000000004</v>
      </c>
      <c r="AL51" s="58">
        <f t="shared" si="42"/>
        <v>10705.95</v>
      </c>
      <c r="AM51" s="59">
        <f t="shared" si="42"/>
        <v>11547.175000000001</v>
      </c>
      <c r="AO51" t="e">
        <f>IF(#REF!=Lohntabelle24!AH51,IF(AND(#REF!&lt;Lohntabelle24!AJ51,#REF!&gt;=Lohntabelle24!AI51),"Unterfunktionslohn",IF(AND(#REF!&lt;Lohntabelle24!AK51,#REF!&gt;=Lohntabelle24!AJ51),"1. Quartil",IF(AND(#REF!&lt;Lohntabelle24!AL51,#REF!&gt;=Lohntabelle24!AK51),"2. Quartil",IF(AND(#REF!&lt;Lohntabelle24!AM51,#REF!&gt;=Lohntabelle24!AL51),"3. Quartil",IF(AND(#REF!&gt;=Lohntabelle24!AM51,#REF!&lt;Lohntabelle24!AF51),"4. Quartil",IF(#REF!=Lohntabelle24!AF51,"höchsten Erfahrungswert","Lohnband prüfen")))))),"")</f>
        <v>#REF!</v>
      </c>
      <c r="AP51" t="e">
        <f t="shared" si="41"/>
        <v>#REF!</v>
      </c>
      <c r="AQ51" t="e">
        <f>IF(#REF!=Lohntabelle24!AH51,IF(AND(#REF!&lt;Lohntabelle24!AJ51,#REF!&gt;=Lohntabelle24!AI51),$AS$42,IF(AND(#REF!&lt;Lohntabelle24!AK51,#REF!&gt;=Lohntabelle24!AJ51),$AS$43,IF(AND(#REF!&lt;Lohntabelle24!AL51,#REF!&gt;=Lohntabelle24!AK51),$AS$44,IF(AND(#REF!&lt;Lohntabelle24!AM51,#REF!&gt;=Lohntabelle24!AL51),$AS$45,IF(AND(#REF!&gt;=Lohntabelle24!AM51,#REF!&lt;Lohntabelle24!AF51),$AS$46,IF(#REF!=Lohntabelle24!AF51,"höchster Erfahrungswert","Lohnband prüfen")))))),"")</f>
        <v>#REF!</v>
      </c>
      <c r="AR51" t="e">
        <f>IF(AQ51="","",IF(#REF!='Matrizen 23_24'!$A$3,"",VLOOKUP(#REF!,'Matrizen 23_24'!$A$4:$B$19,2,0)))</f>
        <v>#REF!</v>
      </c>
    </row>
    <row r="52" spans="1:44" x14ac:dyDescent="0.2">
      <c r="A52" s="44"/>
      <c r="B52" s="49">
        <v>10</v>
      </c>
      <c r="C52" s="54">
        <v>7395.95</v>
      </c>
      <c r="D52" s="54">
        <v>7736.95</v>
      </c>
      <c r="E52" s="54">
        <v>8077.9</v>
      </c>
      <c r="F52" s="54">
        <v>8418.85</v>
      </c>
      <c r="G52" s="54">
        <v>8744.75</v>
      </c>
      <c r="H52" s="54">
        <v>9070.65</v>
      </c>
      <c r="I52" s="54">
        <v>9396.5</v>
      </c>
      <c r="J52" s="54">
        <v>9722.4500000000007</v>
      </c>
      <c r="K52" s="54">
        <v>9865.1</v>
      </c>
      <c r="L52" s="54">
        <v>10007.75</v>
      </c>
      <c r="M52" s="54">
        <v>10150.299999999999</v>
      </c>
      <c r="N52" s="54">
        <v>10293.049999999999</v>
      </c>
      <c r="O52" s="54">
        <v>10412.9</v>
      </c>
      <c r="P52" s="54">
        <v>10532.85</v>
      </c>
      <c r="Q52" s="54">
        <v>10652.7</v>
      </c>
      <c r="R52" s="54">
        <v>10772.65</v>
      </c>
      <c r="S52" s="54">
        <v>10892.6</v>
      </c>
      <c r="T52" s="54">
        <v>11012.45</v>
      </c>
      <c r="U52" s="54">
        <v>11132.35</v>
      </c>
      <c r="V52" s="54">
        <v>11252.2</v>
      </c>
      <c r="W52" s="54">
        <v>11252.2</v>
      </c>
      <c r="X52" s="54">
        <v>11305.4</v>
      </c>
      <c r="Y52" s="54">
        <v>11305.4</v>
      </c>
      <c r="Z52" s="54">
        <v>11358.45</v>
      </c>
      <c r="AA52" s="54">
        <v>11358.45</v>
      </c>
      <c r="AB52" s="54">
        <v>11411.7</v>
      </c>
      <c r="AC52" s="54">
        <v>11411.7</v>
      </c>
      <c r="AD52" s="54">
        <v>11464.9</v>
      </c>
      <c r="AE52" s="54">
        <v>11464.9</v>
      </c>
      <c r="AF52" s="54">
        <v>11517.8</v>
      </c>
      <c r="AG52" s="44"/>
      <c r="AH52" s="49">
        <v>10</v>
      </c>
      <c r="AI52" s="55">
        <f t="shared" si="38"/>
        <v>7395.95</v>
      </c>
      <c r="AJ52" s="56">
        <f t="shared" si="39"/>
        <v>8418.85</v>
      </c>
      <c r="AK52" s="57">
        <f t="shared" si="42"/>
        <v>9193.5874999999996</v>
      </c>
      <c r="AL52" s="58">
        <f t="shared" si="42"/>
        <v>9968.3249999999989</v>
      </c>
      <c r="AM52" s="59">
        <f t="shared" si="42"/>
        <v>10743.062499999998</v>
      </c>
      <c r="AO52" t="e">
        <f>IF(#REF!=Lohntabelle24!AH52,IF(AND(#REF!&lt;Lohntabelle24!AJ52,#REF!&gt;=Lohntabelle24!AI52),"Unterfunktionslohn",IF(AND(#REF!&lt;Lohntabelle24!AK52,#REF!&gt;=Lohntabelle24!AJ52),"1. Quartil",IF(AND(#REF!&lt;Lohntabelle24!AL52,#REF!&gt;=Lohntabelle24!AK52),"2. Quartil",IF(AND(#REF!&lt;Lohntabelle24!AM52,#REF!&gt;=Lohntabelle24!AL52),"3. Quartil",IF(AND(#REF!&gt;=Lohntabelle24!AM52,#REF!&lt;Lohntabelle24!AF52),"4. Quartil",IF(#REF!=Lohntabelle24!AF52,"höchsten Erfahrungswert","Lohnband prüfen")))))),"")</f>
        <v>#REF!</v>
      </c>
      <c r="AP52" t="e">
        <f t="shared" si="41"/>
        <v>#REF!</v>
      </c>
      <c r="AQ52" t="e">
        <f>IF(#REF!=Lohntabelle24!AH52,IF(AND(#REF!&lt;Lohntabelle24!AJ52,#REF!&gt;=Lohntabelle24!AI52),$AS$42,IF(AND(#REF!&lt;Lohntabelle24!AK52,#REF!&gt;=Lohntabelle24!AJ52),$AS$43,IF(AND(#REF!&lt;Lohntabelle24!AL52,#REF!&gt;=Lohntabelle24!AK52),$AS$44,IF(AND(#REF!&lt;Lohntabelle24!AM52,#REF!&gt;=Lohntabelle24!AL52),$AS$45,IF(AND(#REF!&gt;=Lohntabelle24!AM52,#REF!&lt;Lohntabelle24!AF52),$AS$46,IF(#REF!=Lohntabelle24!AF52,"höchster Erfahrungswert","Lohnband prüfen")))))),"")</f>
        <v>#REF!</v>
      </c>
      <c r="AR52" t="e">
        <f>IF(AQ52="","",IF(#REF!='Matrizen 23_24'!$A$3,"",VLOOKUP(#REF!,'Matrizen 23_24'!$A$4:$B$19,2,0)))</f>
        <v>#REF!</v>
      </c>
    </row>
    <row r="53" spans="1:44" x14ac:dyDescent="0.2">
      <c r="A53" s="44"/>
      <c r="B53" s="49">
        <v>11</v>
      </c>
      <c r="C53" s="54">
        <v>6905</v>
      </c>
      <c r="D53" s="54">
        <v>7222.7</v>
      </c>
      <c r="E53" s="54">
        <v>7540.25</v>
      </c>
      <c r="F53" s="54">
        <v>7858</v>
      </c>
      <c r="G53" s="54">
        <v>8163.85</v>
      </c>
      <c r="H53" s="54">
        <v>8469.5499999999993</v>
      </c>
      <c r="I53" s="54">
        <v>8775.2999999999993</v>
      </c>
      <c r="J53" s="54">
        <v>9081.1</v>
      </c>
      <c r="K53" s="54">
        <v>9214.9500000000007</v>
      </c>
      <c r="L53" s="54">
        <v>9348.9</v>
      </c>
      <c r="M53" s="54">
        <v>9482.7999999999993</v>
      </c>
      <c r="N53" s="54">
        <v>9616.5</v>
      </c>
      <c r="O53" s="54">
        <v>9728.65</v>
      </c>
      <c r="P53" s="54">
        <v>9840.5499999999993</v>
      </c>
      <c r="Q53" s="54">
        <v>9952.65</v>
      </c>
      <c r="R53" s="54">
        <v>10064.549999999999</v>
      </c>
      <c r="S53" s="54">
        <v>10176.5</v>
      </c>
      <c r="T53" s="54">
        <v>10288.549999999999</v>
      </c>
      <c r="U53" s="54">
        <v>10400.5</v>
      </c>
      <c r="V53" s="54">
        <v>10512.5</v>
      </c>
      <c r="W53" s="54">
        <v>10512.5</v>
      </c>
      <c r="X53" s="54">
        <v>10561.15</v>
      </c>
      <c r="Y53" s="54">
        <v>10561.15</v>
      </c>
      <c r="Z53" s="54">
        <v>10609.9</v>
      </c>
      <c r="AA53" s="54">
        <v>10609.9</v>
      </c>
      <c r="AB53" s="54">
        <v>10658.6</v>
      </c>
      <c r="AC53" s="54">
        <v>10658.6</v>
      </c>
      <c r="AD53" s="54">
        <v>10707.1</v>
      </c>
      <c r="AE53" s="54">
        <v>10707.1</v>
      </c>
      <c r="AF53" s="54">
        <v>10755.8</v>
      </c>
      <c r="AG53" s="44"/>
      <c r="AH53" s="49">
        <v>11</v>
      </c>
      <c r="AI53" s="55">
        <f t="shared" si="38"/>
        <v>6905</v>
      </c>
      <c r="AJ53" s="56">
        <f t="shared" si="39"/>
        <v>7858</v>
      </c>
      <c r="AK53" s="57">
        <f t="shared" si="42"/>
        <v>8582.4500000000007</v>
      </c>
      <c r="AL53" s="58">
        <f t="shared" si="42"/>
        <v>9306.9000000000015</v>
      </c>
      <c r="AM53" s="59">
        <f t="shared" si="42"/>
        <v>10031.350000000002</v>
      </c>
      <c r="AO53" t="e">
        <f>IF(#REF!=Lohntabelle24!AH53,IF(AND(#REF!&lt;Lohntabelle24!AJ53,#REF!&gt;=Lohntabelle24!AI53),"Unterfunktionslohn",IF(AND(#REF!&lt;Lohntabelle24!AK53,#REF!&gt;=Lohntabelle24!AJ53),"1. Quartil",IF(AND(#REF!&lt;Lohntabelle24!AL53,#REF!&gt;=Lohntabelle24!AK53),"2. Quartil",IF(AND(#REF!&lt;Lohntabelle24!AM53,#REF!&gt;=Lohntabelle24!AL53),"3. Quartil",IF(AND(#REF!&gt;=Lohntabelle24!AM53,#REF!&lt;Lohntabelle24!AF53),"4. Quartil",IF(#REF!=Lohntabelle24!AF53,"höchsten Erfahrungswert","Lohnband prüfen")))))),"")</f>
        <v>#REF!</v>
      </c>
      <c r="AP53" t="e">
        <f t="shared" si="41"/>
        <v>#REF!</v>
      </c>
      <c r="AQ53" t="e">
        <f>IF(#REF!=Lohntabelle24!AH53,IF(AND(#REF!&lt;Lohntabelle24!AJ53,#REF!&gt;=Lohntabelle24!AI53),$AS$42,IF(AND(#REF!&lt;Lohntabelle24!AK53,#REF!&gt;=Lohntabelle24!AJ53),$AS$43,IF(AND(#REF!&lt;Lohntabelle24!AL53,#REF!&gt;=Lohntabelle24!AK53),$AS$44,IF(AND(#REF!&lt;Lohntabelle24!AM53,#REF!&gt;=Lohntabelle24!AL53),$AS$45,IF(AND(#REF!&gt;=Lohntabelle24!AM53,#REF!&lt;Lohntabelle24!AF53),$AS$46,IF(#REF!=Lohntabelle24!AF53,"höchster Erfahrungswert","Lohnband prüfen")))))),"")</f>
        <v>#REF!</v>
      </c>
      <c r="AR53" t="e">
        <f>IF(AQ53="","",IF(#REF!='Matrizen 23_24'!$A$3,"",VLOOKUP(#REF!,'Matrizen 23_24'!$A$4:$B$19,2,0)))</f>
        <v>#REF!</v>
      </c>
    </row>
    <row r="54" spans="1:44" x14ac:dyDescent="0.2">
      <c r="A54" s="44"/>
      <c r="B54" s="49">
        <v>12</v>
      </c>
      <c r="C54" s="54">
        <v>6452.35</v>
      </c>
      <c r="D54" s="54">
        <v>6748.5</v>
      </c>
      <c r="E54" s="54">
        <v>7044.5</v>
      </c>
      <c r="F54" s="54">
        <v>7340.4</v>
      </c>
      <c r="G54" s="54">
        <v>7626</v>
      </c>
      <c r="H54" s="54">
        <v>7911.8</v>
      </c>
      <c r="I54" s="54">
        <v>8197.35</v>
      </c>
      <c r="J54" s="54">
        <v>8482.9500000000007</v>
      </c>
      <c r="K54" s="54">
        <v>8608</v>
      </c>
      <c r="L54" s="54">
        <v>8732.9500000000007</v>
      </c>
      <c r="M54" s="54">
        <v>8858.0499999999993</v>
      </c>
      <c r="N54" s="54">
        <v>8983.0499999999993</v>
      </c>
      <c r="O54" s="54">
        <v>9088.4</v>
      </c>
      <c r="P54" s="54">
        <v>9193.75</v>
      </c>
      <c r="Q54" s="54">
        <v>9298.9500000000007</v>
      </c>
      <c r="R54" s="54">
        <v>9404.35</v>
      </c>
      <c r="S54" s="54">
        <v>9509.7000000000007</v>
      </c>
      <c r="T54" s="54">
        <v>9614.9500000000007</v>
      </c>
      <c r="U54" s="54">
        <v>9720.2999999999993</v>
      </c>
      <c r="V54" s="54">
        <v>9825.6</v>
      </c>
      <c r="W54" s="54">
        <v>9825.6</v>
      </c>
      <c r="X54" s="54">
        <v>9870.35</v>
      </c>
      <c r="Y54" s="54">
        <v>9870.35</v>
      </c>
      <c r="Z54" s="54">
        <v>9915</v>
      </c>
      <c r="AA54" s="54">
        <v>9915</v>
      </c>
      <c r="AB54" s="54">
        <v>9959.7000000000007</v>
      </c>
      <c r="AC54" s="54">
        <v>9959.7000000000007</v>
      </c>
      <c r="AD54" s="54">
        <v>10004.4</v>
      </c>
      <c r="AE54" s="54">
        <v>10004.4</v>
      </c>
      <c r="AF54" s="54">
        <v>10049.15</v>
      </c>
      <c r="AG54" s="44"/>
      <c r="AH54" s="49">
        <v>12</v>
      </c>
      <c r="AI54" s="55">
        <f t="shared" si="38"/>
        <v>6452.35</v>
      </c>
      <c r="AJ54" s="56">
        <f t="shared" si="39"/>
        <v>7340.4</v>
      </c>
      <c r="AK54" s="57">
        <f t="shared" si="42"/>
        <v>8017.5874999999996</v>
      </c>
      <c r="AL54" s="58">
        <f t="shared" si="42"/>
        <v>8694.7749999999996</v>
      </c>
      <c r="AM54" s="59">
        <f t="shared" si="42"/>
        <v>9371.9624999999996</v>
      </c>
      <c r="AO54" t="e">
        <f>IF(#REF!=Lohntabelle24!AH54,IF(AND(#REF!&lt;Lohntabelle24!AJ54,#REF!&gt;=Lohntabelle24!AI54),"Unterfunktionslohn",IF(AND(#REF!&lt;Lohntabelle24!AK54,#REF!&gt;=Lohntabelle24!AJ54),"1. Quartil",IF(AND(#REF!&lt;Lohntabelle24!AL54,#REF!&gt;=Lohntabelle24!AK54),"2. Quartil",IF(AND(#REF!&lt;Lohntabelle24!AM54,#REF!&gt;=Lohntabelle24!AL54),"3. Quartil",IF(AND(#REF!&gt;=Lohntabelle24!AM54,#REF!&lt;Lohntabelle24!AF54),"4. Quartil",IF(#REF!=Lohntabelle24!AF54,"höchsten Erfahrungswert","Lohnband prüfen")))))),"")</f>
        <v>#REF!</v>
      </c>
      <c r="AP54" t="e">
        <f t="shared" si="41"/>
        <v>#REF!</v>
      </c>
      <c r="AQ54" t="e">
        <f>IF(#REF!=Lohntabelle24!AH54,IF(AND(#REF!&lt;Lohntabelle24!AJ54,#REF!&gt;=Lohntabelle24!AI54),$AS$42,IF(AND(#REF!&lt;Lohntabelle24!AK54,#REF!&gt;=Lohntabelle24!AJ54),$AS$43,IF(AND(#REF!&lt;Lohntabelle24!AL54,#REF!&gt;=Lohntabelle24!AK54),$AS$44,IF(AND(#REF!&lt;Lohntabelle24!AM54,#REF!&gt;=Lohntabelle24!AL54),$AS$45,IF(AND(#REF!&gt;=Lohntabelle24!AM54,#REF!&lt;Lohntabelle24!AF54),$AS$46,IF(#REF!=Lohntabelle24!AF54,"höchster Erfahrungswert","Lohnband prüfen")))))),"")</f>
        <v>#REF!</v>
      </c>
      <c r="AR54" t="e">
        <f>IF(AQ54="","",IF(#REF!='Matrizen 23_24'!$A$3,"",VLOOKUP(#REF!,'Matrizen 23_24'!$A$4:$B$19,2,0)))</f>
        <v>#REF!</v>
      </c>
    </row>
    <row r="55" spans="1:44" x14ac:dyDescent="0.2">
      <c r="A55" s="44"/>
      <c r="B55" s="49">
        <v>13</v>
      </c>
      <c r="C55" s="54">
        <v>6035.2</v>
      </c>
      <c r="D55" s="54">
        <v>6311.4</v>
      </c>
      <c r="E55" s="54">
        <v>6587.65</v>
      </c>
      <c r="F55" s="54">
        <v>6863.85</v>
      </c>
      <c r="G55" s="54">
        <v>7130.4</v>
      </c>
      <c r="H55" s="54">
        <v>7396.9</v>
      </c>
      <c r="I55" s="54">
        <v>7663.4</v>
      </c>
      <c r="J55" s="54">
        <v>7930</v>
      </c>
      <c r="K55" s="54">
        <v>8046.75</v>
      </c>
      <c r="L55" s="54">
        <v>8163.5</v>
      </c>
      <c r="M55" s="54">
        <v>8280.0499999999993</v>
      </c>
      <c r="N55" s="54">
        <v>8396.85</v>
      </c>
      <c r="O55" s="54">
        <v>8494.4500000000007</v>
      </c>
      <c r="P55" s="54">
        <v>8592.1</v>
      </c>
      <c r="Q55" s="54">
        <v>8689.7999999999993</v>
      </c>
      <c r="R55" s="54">
        <v>8787.4</v>
      </c>
      <c r="S55" s="54">
        <v>8885.15</v>
      </c>
      <c r="T55" s="54">
        <v>8982.7000000000007</v>
      </c>
      <c r="U55" s="54">
        <v>9080.5</v>
      </c>
      <c r="V55" s="54">
        <v>9177.9500000000007</v>
      </c>
      <c r="W55" s="54">
        <v>9177.9500000000007</v>
      </c>
      <c r="X55" s="54">
        <v>9220.9500000000007</v>
      </c>
      <c r="Y55" s="54">
        <v>9220.9500000000007</v>
      </c>
      <c r="Z55" s="54">
        <v>9263.9500000000007</v>
      </c>
      <c r="AA55" s="54">
        <v>9263.9500000000007</v>
      </c>
      <c r="AB55" s="54">
        <v>9306.7999999999993</v>
      </c>
      <c r="AC55" s="54">
        <v>9306.7999999999993</v>
      </c>
      <c r="AD55" s="54">
        <v>9349.9</v>
      </c>
      <c r="AE55" s="54">
        <v>9349.9</v>
      </c>
      <c r="AF55" s="54">
        <v>9392.7999999999993</v>
      </c>
      <c r="AG55" s="44"/>
      <c r="AH55" s="49">
        <v>13</v>
      </c>
      <c r="AI55" s="55">
        <f t="shared" si="38"/>
        <v>6035.2</v>
      </c>
      <c r="AJ55" s="56">
        <f t="shared" si="39"/>
        <v>6863.85</v>
      </c>
      <c r="AK55" s="57">
        <f t="shared" si="42"/>
        <v>7496.0874999999996</v>
      </c>
      <c r="AL55" s="58">
        <f t="shared" si="42"/>
        <v>8128.3249999999989</v>
      </c>
      <c r="AM55" s="59">
        <f t="shared" si="42"/>
        <v>8760.5624999999982</v>
      </c>
      <c r="AO55" t="e">
        <f>IF(#REF!=Lohntabelle24!AH55,IF(AND(#REF!&lt;Lohntabelle24!AJ55,#REF!&gt;=Lohntabelle24!AI55),"Unterfunktionslohn",IF(AND(#REF!&lt;Lohntabelle24!AK55,#REF!&gt;=Lohntabelle24!AJ55),"1. Quartil",IF(AND(#REF!&lt;Lohntabelle24!AL55,#REF!&gt;=Lohntabelle24!AK55),"2. Quartil",IF(AND(#REF!&lt;Lohntabelle24!AM55,#REF!&gt;=Lohntabelle24!AL55),"3. Quartil",IF(AND(#REF!&gt;=Lohntabelle24!AM55,#REF!&lt;Lohntabelle24!AF55),"4. Quartil",IF(#REF!=Lohntabelle24!AF55,"höchsten Erfahrungswert","Lohnband prüfen")))))),"")</f>
        <v>#REF!</v>
      </c>
      <c r="AP55" t="e">
        <f t="shared" si="41"/>
        <v>#REF!</v>
      </c>
      <c r="AQ55" t="e">
        <f>IF(#REF!=Lohntabelle24!AH55,IF(AND(#REF!&lt;Lohntabelle24!AJ55,#REF!&gt;=Lohntabelle24!AI55),$AS$42,IF(AND(#REF!&lt;Lohntabelle24!AK55,#REF!&gt;=Lohntabelle24!AJ55),$AS$43,IF(AND(#REF!&lt;Lohntabelle24!AL55,#REF!&gt;=Lohntabelle24!AK55),$AS$44,IF(AND(#REF!&lt;Lohntabelle24!AM55,#REF!&gt;=Lohntabelle24!AL55),$AS$45,IF(AND(#REF!&gt;=Lohntabelle24!AM55,#REF!&lt;Lohntabelle24!AF55),$AS$46,IF(#REF!=Lohntabelle24!AF55,"höchster Erfahrungswert","Lohnband prüfen")))))),"")</f>
        <v>#REF!</v>
      </c>
      <c r="AR55" t="e">
        <f>IF(AQ55="","",IF(#REF!='Matrizen 23_24'!$A$3,"",VLOOKUP(#REF!,'Matrizen 23_24'!$A$4:$B$19,2,0)))</f>
        <v>#REF!</v>
      </c>
    </row>
    <row r="56" spans="1:44" x14ac:dyDescent="0.2">
      <c r="A56" s="44"/>
      <c r="B56" s="49">
        <v>14</v>
      </c>
      <c r="C56" s="54">
        <v>5659.2</v>
      </c>
      <c r="D56" s="54">
        <v>5917.4</v>
      </c>
      <c r="E56" s="54">
        <v>6175.4</v>
      </c>
      <c r="F56" s="54">
        <v>6433.65</v>
      </c>
      <c r="G56" s="54">
        <v>6682.85</v>
      </c>
      <c r="H56" s="54">
        <v>6931.95</v>
      </c>
      <c r="I56" s="54">
        <v>7181.2</v>
      </c>
      <c r="J56" s="54">
        <v>7430.25</v>
      </c>
      <c r="K56" s="54">
        <v>7539.35</v>
      </c>
      <c r="L56" s="54">
        <v>7648.3</v>
      </c>
      <c r="M56" s="54">
        <v>7757.55</v>
      </c>
      <c r="N56" s="54">
        <v>7866.75</v>
      </c>
      <c r="O56" s="54">
        <v>7955.6</v>
      </c>
      <c r="P56" s="54">
        <v>8044.65</v>
      </c>
      <c r="Q56" s="54">
        <v>8133.6</v>
      </c>
      <c r="R56" s="54">
        <v>8222.5499999999993</v>
      </c>
      <c r="S56" s="54">
        <v>8311.65</v>
      </c>
      <c r="T56" s="54">
        <v>8400.6</v>
      </c>
      <c r="U56" s="54">
        <v>8489.5499999999993</v>
      </c>
      <c r="V56" s="54">
        <v>8578.4500000000007</v>
      </c>
      <c r="W56" s="54">
        <v>8578.4500000000007</v>
      </c>
      <c r="X56" s="54">
        <v>8618.7000000000007</v>
      </c>
      <c r="Y56" s="54">
        <v>8618.7000000000007</v>
      </c>
      <c r="Z56" s="54">
        <v>8658.7999999999993</v>
      </c>
      <c r="AA56" s="54">
        <v>8658.7999999999993</v>
      </c>
      <c r="AB56" s="54">
        <v>8699.0499999999993</v>
      </c>
      <c r="AC56" s="54">
        <v>8699.0499999999993</v>
      </c>
      <c r="AD56" s="54">
        <v>8739.2999999999993</v>
      </c>
      <c r="AE56" s="54">
        <v>8739.2999999999993</v>
      </c>
      <c r="AF56" s="54">
        <v>8779.5</v>
      </c>
      <c r="AG56" s="44"/>
      <c r="AH56" s="49">
        <v>14</v>
      </c>
      <c r="AI56" s="55">
        <f t="shared" si="38"/>
        <v>5659.2</v>
      </c>
      <c r="AJ56" s="56">
        <f t="shared" si="39"/>
        <v>6433.65</v>
      </c>
      <c r="AK56" s="57">
        <f t="shared" si="42"/>
        <v>7020.1124999999993</v>
      </c>
      <c r="AL56" s="58">
        <f t="shared" si="42"/>
        <v>7606.5749999999989</v>
      </c>
      <c r="AM56" s="59">
        <f t="shared" si="42"/>
        <v>8193.0374999999985</v>
      </c>
      <c r="AO56" t="e">
        <f>IF(#REF!=Lohntabelle24!AH56,IF(AND(#REF!&lt;Lohntabelle24!AJ56,#REF!&gt;=Lohntabelle24!AI56),"Unterfunktionslohn",IF(AND(#REF!&lt;Lohntabelle24!AK56,#REF!&gt;=Lohntabelle24!AJ56),"1. Quartil",IF(AND(#REF!&lt;Lohntabelle24!AL56,#REF!&gt;=Lohntabelle24!AK56),"2. Quartil",IF(AND(#REF!&lt;Lohntabelle24!AM56,#REF!&gt;=Lohntabelle24!AL56),"3. Quartil",IF(AND(#REF!&gt;=Lohntabelle24!AM56,#REF!&lt;Lohntabelle24!AF56),"4. Quartil",IF(#REF!=Lohntabelle24!AF56,"höchsten Erfahrungswert","Lohnband prüfen")))))),"")</f>
        <v>#REF!</v>
      </c>
      <c r="AP56" t="e">
        <f t="shared" si="41"/>
        <v>#REF!</v>
      </c>
      <c r="AQ56" t="e">
        <f>IF(#REF!=Lohntabelle24!AH56,IF(AND(#REF!&lt;Lohntabelle24!AJ56,#REF!&gt;=Lohntabelle24!AI56),$AS$42,IF(AND(#REF!&lt;Lohntabelle24!AK56,#REF!&gt;=Lohntabelle24!AJ56),$AS$43,IF(AND(#REF!&lt;Lohntabelle24!AL56,#REF!&gt;=Lohntabelle24!AK56),$AS$44,IF(AND(#REF!&lt;Lohntabelle24!AM56,#REF!&gt;=Lohntabelle24!AL56),$AS$45,IF(AND(#REF!&gt;=Lohntabelle24!AM56,#REF!&lt;Lohntabelle24!AF56),$AS$46,IF(#REF!=Lohntabelle24!AF56,"höchster Erfahrungswert","Lohnband prüfen")))))),"")</f>
        <v>#REF!</v>
      </c>
      <c r="AR56" t="e">
        <f>IF(AQ56="","",IF(#REF!='Matrizen 23_24'!$A$3,"",VLOOKUP(#REF!,'Matrizen 23_24'!$A$4:$B$19,2,0)))</f>
        <v>#REF!</v>
      </c>
    </row>
    <row r="57" spans="1:44" x14ac:dyDescent="0.2">
      <c r="A57" s="44"/>
      <c r="B57" s="49">
        <v>15</v>
      </c>
      <c r="C57" s="54">
        <v>5318.4</v>
      </c>
      <c r="D57" s="54">
        <v>5560.3</v>
      </c>
      <c r="E57" s="54">
        <v>5802.15</v>
      </c>
      <c r="F57" s="54">
        <v>6044.1</v>
      </c>
      <c r="G57" s="54">
        <v>6277.55</v>
      </c>
      <c r="H57" s="54">
        <v>6511.1</v>
      </c>
      <c r="I57" s="54">
        <v>6744.55</v>
      </c>
      <c r="J57" s="54">
        <v>6978.1</v>
      </c>
      <c r="K57" s="54">
        <v>7080.3</v>
      </c>
      <c r="L57" s="54">
        <v>7182.5</v>
      </c>
      <c r="M57" s="54">
        <v>7284.7</v>
      </c>
      <c r="N57" s="54">
        <v>7386.9</v>
      </c>
      <c r="O57" s="54">
        <v>7468</v>
      </c>
      <c r="P57" s="54">
        <v>7549.2</v>
      </c>
      <c r="Q57" s="54">
        <v>7630.3</v>
      </c>
      <c r="R57" s="54">
        <v>7711.4</v>
      </c>
      <c r="S57" s="54">
        <v>7792.5</v>
      </c>
      <c r="T57" s="54">
        <v>7873.6</v>
      </c>
      <c r="U57" s="54">
        <v>7954.75</v>
      </c>
      <c r="V57" s="54">
        <v>8035.95</v>
      </c>
      <c r="W57" s="54">
        <v>8035.95</v>
      </c>
      <c r="X57" s="54">
        <v>8073.7</v>
      </c>
      <c r="Y57" s="54">
        <v>8073.7</v>
      </c>
      <c r="Z57" s="54">
        <v>8111.45</v>
      </c>
      <c r="AA57" s="54">
        <v>8111.45</v>
      </c>
      <c r="AB57" s="54">
        <v>8149.05</v>
      </c>
      <c r="AC57" s="54">
        <v>8149.05</v>
      </c>
      <c r="AD57" s="54">
        <v>8186.75</v>
      </c>
      <c r="AE57" s="54">
        <v>8186.75</v>
      </c>
      <c r="AF57" s="54">
        <v>8224.5499999999993</v>
      </c>
      <c r="AG57" s="44"/>
      <c r="AH57" s="49">
        <v>15</v>
      </c>
      <c r="AI57" s="55">
        <f t="shared" si="38"/>
        <v>5318.4</v>
      </c>
      <c r="AJ57" s="56">
        <f t="shared" si="39"/>
        <v>6044.1</v>
      </c>
      <c r="AK57" s="57">
        <f t="shared" si="42"/>
        <v>6589.2124999999996</v>
      </c>
      <c r="AL57" s="58">
        <f t="shared" si="42"/>
        <v>7134.3249999999989</v>
      </c>
      <c r="AM57" s="59">
        <f t="shared" si="42"/>
        <v>7679.4374999999982</v>
      </c>
      <c r="AO57" t="e">
        <f>IF(#REF!=Lohntabelle24!AH57,IF(AND(#REF!&lt;Lohntabelle24!AJ57,#REF!&gt;=Lohntabelle24!AI57),"Unterfunktionslohn",IF(AND(#REF!&lt;Lohntabelle24!AK57,#REF!&gt;=Lohntabelle24!AJ57),"1. Quartil",IF(AND(#REF!&lt;Lohntabelle24!AL57,#REF!&gt;=Lohntabelle24!AK57),"2. Quartil",IF(AND(#REF!&lt;Lohntabelle24!AM57,#REF!&gt;=Lohntabelle24!AL57),"3. Quartil",IF(AND(#REF!&gt;=Lohntabelle24!AM57,#REF!&lt;Lohntabelle24!AF57),"4. Quartil",IF(#REF!=Lohntabelle24!AF57,"höchsten Erfahrungswert","Lohnband prüfen")))))),"")</f>
        <v>#REF!</v>
      </c>
      <c r="AP57" t="e">
        <f t="shared" si="41"/>
        <v>#REF!</v>
      </c>
      <c r="AQ57" t="e">
        <f>IF(#REF!=Lohntabelle24!AH57,IF(AND(#REF!&lt;Lohntabelle24!AJ57,#REF!&gt;=Lohntabelle24!AI57),$AS$42,IF(AND(#REF!&lt;Lohntabelle24!AK57,#REF!&gt;=Lohntabelle24!AJ57),$AS$43,IF(AND(#REF!&lt;Lohntabelle24!AL57,#REF!&gt;=Lohntabelle24!AK57),$AS$44,IF(AND(#REF!&lt;Lohntabelle24!AM57,#REF!&gt;=Lohntabelle24!AL57),$AS$45,IF(AND(#REF!&gt;=Lohntabelle24!AM57,#REF!&lt;Lohntabelle24!AF57),$AS$46,IF(#REF!=Lohntabelle24!AF57,"höchster Erfahrungswert","Lohnband prüfen")))))),"")</f>
        <v>#REF!</v>
      </c>
      <c r="AR57" t="e">
        <f>IF(AQ57="","",IF(#REF!='Matrizen 23_24'!$A$3,"",VLOOKUP(#REF!,'Matrizen 23_24'!$A$4:$B$19,2,0)))</f>
        <v>#REF!</v>
      </c>
    </row>
    <row r="58" spans="1:44" x14ac:dyDescent="0.2">
      <c r="A58" s="44"/>
      <c r="B58" s="49">
        <v>16</v>
      </c>
      <c r="C58" s="54">
        <v>5015.6499999999996</v>
      </c>
      <c r="D58" s="54">
        <v>5243.1</v>
      </c>
      <c r="E58" s="54">
        <v>5470.75</v>
      </c>
      <c r="F58" s="54">
        <v>5698.25</v>
      </c>
      <c r="G58" s="54">
        <v>5917.9</v>
      </c>
      <c r="H58" s="54">
        <v>6137.55</v>
      </c>
      <c r="I58" s="54">
        <v>6357.2</v>
      </c>
      <c r="J58" s="54">
        <v>6576.75</v>
      </c>
      <c r="K58" s="54">
        <v>6672.9</v>
      </c>
      <c r="L58" s="54">
        <v>6769.15</v>
      </c>
      <c r="M58" s="54">
        <v>6865.2</v>
      </c>
      <c r="N58" s="54">
        <v>6961.4</v>
      </c>
      <c r="O58" s="54">
        <v>7034.3</v>
      </c>
      <c r="P58" s="54">
        <v>7107.25</v>
      </c>
      <c r="Q58" s="54">
        <v>7180.35</v>
      </c>
      <c r="R58" s="54">
        <v>7253.25</v>
      </c>
      <c r="S58" s="54">
        <v>7326.2</v>
      </c>
      <c r="T58" s="54">
        <v>7399.3</v>
      </c>
      <c r="U58" s="54">
        <v>7472.25</v>
      </c>
      <c r="V58" s="54">
        <v>7545.15</v>
      </c>
      <c r="W58" s="54">
        <v>7545.15</v>
      </c>
      <c r="X58" s="54">
        <v>7580.8</v>
      </c>
      <c r="Y58" s="54">
        <v>7580.8</v>
      </c>
      <c r="Z58" s="54">
        <v>7616.4</v>
      </c>
      <c r="AA58" s="54">
        <v>7616.4</v>
      </c>
      <c r="AB58" s="54">
        <v>7651.9</v>
      </c>
      <c r="AC58" s="54">
        <v>7651.9</v>
      </c>
      <c r="AD58" s="54">
        <v>7687.5</v>
      </c>
      <c r="AE58" s="54">
        <v>7687.5</v>
      </c>
      <c r="AF58" s="54">
        <v>7723.05</v>
      </c>
      <c r="AG58" s="44"/>
      <c r="AH58" s="49">
        <v>16</v>
      </c>
      <c r="AI58" s="55">
        <f t="shared" si="38"/>
        <v>5015.6499999999996</v>
      </c>
      <c r="AJ58" s="56">
        <f t="shared" si="39"/>
        <v>5698.25</v>
      </c>
      <c r="AK58" s="57">
        <f t="shared" si="42"/>
        <v>6204.45</v>
      </c>
      <c r="AL58" s="58">
        <f t="shared" si="42"/>
        <v>6710.65</v>
      </c>
      <c r="AM58" s="59">
        <f t="shared" si="42"/>
        <v>7216.8499999999995</v>
      </c>
      <c r="AO58" t="e">
        <f>IF(#REF!=Lohntabelle24!AH58,IF(AND(#REF!&lt;Lohntabelle24!AJ58,#REF!&gt;=Lohntabelle24!AI58),"Unterfunktionslohn",IF(AND(#REF!&lt;Lohntabelle24!AK58,#REF!&gt;=Lohntabelle24!AJ58),"1. Quartil",IF(AND(#REF!&lt;Lohntabelle24!AL58,#REF!&gt;=Lohntabelle24!AK58),"2. Quartil",IF(AND(#REF!&lt;Lohntabelle24!AM58,#REF!&gt;=Lohntabelle24!AL58),"3. Quartil",IF(AND(#REF!&gt;=Lohntabelle24!AM58,#REF!&lt;Lohntabelle24!AF58),"4. Quartil",IF(#REF!=Lohntabelle24!AF58,"höchsten Erfahrungswert","Lohnband prüfen")))))),"")</f>
        <v>#REF!</v>
      </c>
      <c r="AP58" t="e">
        <f t="shared" si="41"/>
        <v>#REF!</v>
      </c>
      <c r="AQ58" t="e">
        <f>IF(#REF!=Lohntabelle24!AH58,IF(AND(#REF!&lt;Lohntabelle24!AJ58,#REF!&gt;=Lohntabelle24!AI58),$AS$42,IF(AND(#REF!&lt;Lohntabelle24!AK58,#REF!&gt;=Lohntabelle24!AJ58),$AS$43,IF(AND(#REF!&lt;Lohntabelle24!AL58,#REF!&gt;=Lohntabelle24!AK58),$AS$44,IF(AND(#REF!&lt;Lohntabelle24!AM58,#REF!&gt;=Lohntabelle24!AL58),$AS$45,IF(AND(#REF!&gt;=Lohntabelle24!AM58,#REF!&lt;Lohntabelle24!AF58),$AS$46,IF(#REF!=Lohntabelle24!AF58,"höchster Erfahrungswert","Lohnband prüfen")))))),"")</f>
        <v>#REF!</v>
      </c>
      <c r="AR58" t="e">
        <f>IF(AQ58="","",IF(#REF!='Matrizen 23_24'!$A$3,"",VLOOKUP(#REF!,'Matrizen 23_24'!$A$4:$B$19,2,0)))</f>
        <v>#REF!</v>
      </c>
    </row>
    <row r="59" spans="1:44" x14ac:dyDescent="0.2">
      <c r="A59" s="44"/>
      <c r="B59" s="49">
        <v>17</v>
      </c>
      <c r="C59" s="54">
        <v>4750.3</v>
      </c>
      <c r="D59" s="54">
        <v>4965.6000000000004</v>
      </c>
      <c r="E59" s="54">
        <v>5180.8999999999996</v>
      </c>
      <c r="F59" s="54">
        <v>5396</v>
      </c>
      <c r="G59" s="54">
        <v>5603.5</v>
      </c>
      <c r="H59" s="54">
        <v>5810.9</v>
      </c>
      <c r="I59" s="54">
        <v>6018.3</v>
      </c>
      <c r="J59" s="54">
        <v>6225.9</v>
      </c>
      <c r="K59" s="54">
        <v>6316.7</v>
      </c>
      <c r="L59" s="54">
        <v>6407.5</v>
      </c>
      <c r="M59" s="54">
        <v>6498.4</v>
      </c>
      <c r="N59" s="54">
        <v>6589.1</v>
      </c>
      <c r="O59" s="54">
        <v>6654.35</v>
      </c>
      <c r="P59" s="54">
        <v>6719.4</v>
      </c>
      <c r="Q59" s="54">
        <v>6784.5</v>
      </c>
      <c r="R59" s="54">
        <v>6849.5</v>
      </c>
      <c r="S59" s="54">
        <v>6914.85</v>
      </c>
      <c r="T59" s="54">
        <v>6979.8</v>
      </c>
      <c r="U59" s="54">
        <v>7044.95</v>
      </c>
      <c r="V59" s="54">
        <v>7110.1</v>
      </c>
      <c r="W59" s="54">
        <v>7110.1</v>
      </c>
      <c r="X59" s="54">
        <v>7143.75</v>
      </c>
      <c r="Y59" s="54">
        <v>7143.75</v>
      </c>
      <c r="Z59" s="54">
        <v>7177.55</v>
      </c>
      <c r="AA59" s="54">
        <v>7177.55</v>
      </c>
      <c r="AB59" s="54">
        <v>7211.25</v>
      </c>
      <c r="AC59" s="54">
        <v>7211.25</v>
      </c>
      <c r="AD59" s="54">
        <v>7245</v>
      </c>
      <c r="AE59" s="54">
        <v>7245</v>
      </c>
      <c r="AF59" s="54">
        <v>7278.8</v>
      </c>
      <c r="AG59" s="44"/>
      <c r="AH59" s="49">
        <v>17</v>
      </c>
      <c r="AI59" s="55">
        <f t="shared" si="38"/>
        <v>4750.3</v>
      </c>
      <c r="AJ59" s="56">
        <f t="shared" si="39"/>
        <v>5396</v>
      </c>
      <c r="AK59" s="57">
        <f t="shared" si="42"/>
        <v>5866.7</v>
      </c>
      <c r="AL59" s="58">
        <f t="shared" si="42"/>
        <v>6337.4</v>
      </c>
      <c r="AM59" s="59">
        <f t="shared" si="42"/>
        <v>6808.0999999999995</v>
      </c>
      <c r="AO59" t="e">
        <f>IF(#REF!=Lohntabelle24!AH59,IF(AND(#REF!&lt;Lohntabelle24!AJ59,#REF!&gt;=Lohntabelle24!AI59),"Unterfunktionslohn",IF(AND(#REF!&lt;Lohntabelle24!AK59,#REF!&gt;=Lohntabelle24!AJ59),"1. Quartil",IF(AND(#REF!&lt;Lohntabelle24!AL59,#REF!&gt;=Lohntabelle24!AK59),"2. Quartil",IF(AND(#REF!&lt;Lohntabelle24!AM59,#REF!&gt;=Lohntabelle24!AL59),"3. Quartil",IF(AND(#REF!&gt;=Lohntabelle24!AM59,#REF!&lt;Lohntabelle24!AF59),"4. Quartil",IF(#REF!=Lohntabelle24!AF59,"höchsten Erfahrungswert","Lohnband prüfen")))))),"")</f>
        <v>#REF!</v>
      </c>
      <c r="AP59" t="e">
        <f t="shared" si="41"/>
        <v>#REF!</v>
      </c>
      <c r="AQ59" t="e">
        <f>IF(#REF!=Lohntabelle24!AH59,IF(AND(#REF!&lt;Lohntabelle24!AJ59,#REF!&gt;=Lohntabelle24!AI59),$AS$42,IF(AND(#REF!&lt;Lohntabelle24!AK59,#REF!&gt;=Lohntabelle24!AJ59),$AS$43,IF(AND(#REF!&lt;Lohntabelle24!AL59,#REF!&gt;=Lohntabelle24!AK59),$AS$44,IF(AND(#REF!&lt;Lohntabelle24!AM59,#REF!&gt;=Lohntabelle24!AL59),$AS$45,IF(AND(#REF!&gt;=Lohntabelle24!AM59,#REF!&lt;Lohntabelle24!AF59),$AS$46,IF(#REF!=Lohntabelle24!AF59,"höchster Erfahrungswert","Lohnband prüfen")))))),"")</f>
        <v>#REF!</v>
      </c>
      <c r="AR59" t="e">
        <f>IF(AQ59="","",IF(#REF!='Matrizen 23_24'!$A$3,"",VLOOKUP(#REF!,'Matrizen 23_24'!$A$4:$B$19,2,0)))</f>
        <v>#REF!</v>
      </c>
    </row>
    <row r="60" spans="1:44" x14ac:dyDescent="0.2">
      <c r="A60" s="44"/>
      <c r="B60" s="49">
        <v>18</v>
      </c>
      <c r="C60" s="54">
        <v>4519.95</v>
      </c>
      <c r="D60" s="54">
        <v>4725.8</v>
      </c>
      <c r="E60" s="54">
        <v>4931.6499999999996</v>
      </c>
      <c r="F60" s="54">
        <v>5137.3999999999996</v>
      </c>
      <c r="G60" s="54">
        <v>5334.35</v>
      </c>
      <c r="H60" s="54">
        <v>5531.35</v>
      </c>
      <c r="I60" s="54">
        <v>5728.25</v>
      </c>
      <c r="J60" s="54">
        <v>5925.25</v>
      </c>
      <c r="K60" s="54">
        <v>6011.5</v>
      </c>
      <c r="L60" s="54">
        <v>6097.85</v>
      </c>
      <c r="M60" s="54">
        <v>6183.95</v>
      </c>
      <c r="N60" s="54">
        <v>6270.15</v>
      </c>
      <c r="O60" s="54">
        <v>6327.5</v>
      </c>
      <c r="P60" s="54">
        <v>6384.9</v>
      </c>
      <c r="Q60" s="54">
        <v>6442.35</v>
      </c>
      <c r="R60" s="54">
        <v>6499.6</v>
      </c>
      <c r="S60" s="54">
        <v>6556.95</v>
      </c>
      <c r="T60" s="54">
        <v>6614.25</v>
      </c>
      <c r="U60" s="54">
        <v>6671.65</v>
      </c>
      <c r="V60" s="54">
        <v>6729.15</v>
      </c>
      <c r="W60" s="54">
        <v>6729.15</v>
      </c>
      <c r="X60" s="54">
        <v>6761.2</v>
      </c>
      <c r="Y60" s="54">
        <v>6761.2</v>
      </c>
      <c r="Z60" s="54">
        <v>6793.4</v>
      </c>
      <c r="AA60" s="54">
        <v>6793.4</v>
      </c>
      <c r="AB60" s="54">
        <v>6825.5</v>
      </c>
      <c r="AC60" s="54">
        <v>6825.5</v>
      </c>
      <c r="AD60" s="54">
        <v>6857.65</v>
      </c>
      <c r="AE60" s="54">
        <v>6857.65</v>
      </c>
      <c r="AF60" s="54">
        <v>6889.8</v>
      </c>
      <c r="AG60" s="44"/>
      <c r="AH60" s="49">
        <v>18</v>
      </c>
      <c r="AI60" s="55">
        <f t="shared" si="38"/>
        <v>4519.95</v>
      </c>
      <c r="AJ60" s="56">
        <f t="shared" si="39"/>
        <v>5137.3999999999996</v>
      </c>
      <c r="AK60" s="57">
        <f t="shared" ref="AK60:AM70" si="43">(AJ60+(($AF60-$F60)*0.25))</f>
        <v>5575.5</v>
      </c>
      <c r="AL60" s="58">
        <f t="shared" si="43"/>
        <v>6013.6</v>
      </c>
      <c r="AM60" s="59">
        <f t="shared" si="43"/>
        <v>6451.7000000000007</v>
      </c>
      <c r="AO60" t="e">
        <f>IF(#REF!=Lohntabelle24!AH60,IF(AND(#REF!&lt;Lohntabelle24!AJ60,#REF!&gt;=Lohntabelle24!AI60),"Unterfunktionslohn",IF(AND(#REF!&lt;Lohntabelle24!AK60,#REF!&gt;=Lohntabelle24!AJ60),"1. Quartil",IF(AND(#REF!&lt;Lohntabelle24!AL60,#REF!&gt;=Lohntabelle24!AK60),"2. Quartil",IF(AND(#REF!&lt;Lohntabelle24!AM60,#REF!&gt;=Lohntabelle24!AL60),"3. Quartil",IF(AND(#REF!&gt;=Lohntabelle24!AM60,#REF!&lt;Lohntabelle24!AF60),"4. Quartil",IF(#REF!=Lohntabelle24!AF60,"höchsten Erfahrungswert","Lohnband prüfen")))))),"")</f>
        <v>#REF!</v>
      </c>
      <c r="AP60" t="e">
        <f t="shared" si="41"/>
        <v>#REF!</v>
      </c>
      <c r="AQ60" t="e">
        <f>IF(#REF!=Lohntabelle24!AH60,IF(AND(#REF!&lt;Lohntabelle24!AJ60,#REF!&gt;=Lohntabelle24!AI60),$AS$42,IF(AND(#REF!&lt;Lohntabelle24!AK60,#REF!&gt;=Lohntabelle24!AJ60),$AS$43,IF(AND(#REF!&lt;Lohntabelle24!AL60,#REF!&gt;=Lohntabelle24!AK60),$AS$44,IF(AND(#REF!&lt;Lohntabelle24!AM60,#REF!&gt;=Lohntabelle24!AL60),$AS$45,IF(AND(#REF!&gt;=Lohntabelle24!AM60,#REF!&lt;Lohntabelle24!AF60),$AS$46,IF(#REF!=Lohntabelle24!AF60,"höchster Erfahrungswert","Lohnband prüfen")))))),"")</f>
        <v>#REF!</v>
      </c>
      <c r="AR60" t="e">
        <f>IF(AQ60="","",IF(#REF!='Matrizen 23_24'!$A$3,"",VLOOKUP(#REF!,'Matrizen 23_24'!$A$4:$B$19,2,0)))</f>
        <v>#REF!</v>
      </c>
    </row>
    <row r="61" spans="1:44" x14ac:dyDescent="0.2">
      <c r="A61" s="44"/>
      <c r="B61" s="49">
        <v>19</v>
      </c>
      <c r="C61" s="54">
        <v>4316.6499999999996</v>
      </c>
      <c r="D61" s="54">
        <v>4514.7</v>
      </c>
      <c r="E61" s="54">
        <v>4712.55</v>
      </c>
      <c r="F61" s="54">
        <v>4910.6499999999996</v>
      </c>
      <c r="G61" s="54">
        <v>5098.6000000000004</v>
      </c>
      <c r="H61" s="54">
        <v>5286.5</v>
      </c>
      <c r="I61" s="54">
        <v>5474.4</v>
      </c>
      <c r="J61" s="54">
        <v>5662.25</v>
      </c>
      <c r="K61" s="54">
        <v>5744.55</v>
      </c>
      <c r="L61" s="54">
        <v>5826.9</v>
      </c>
      <c r="M61" s="54">
        <v>5909.1</v>
      </c>
      <c r="N61" s="54">
        <v>5991.2</v>
      </c>
      <c r="O61" s="54">
        <v>6042.8</v>
      </c>
      <c r="P61" s="54">
        <v>6094.3</v>
      </c>
      <c r="Q61" s="54">
        <v>6145.8</v>
      </c>
      <c r="R61" s="54">
        <v>6197.25</v>
      </c>
      <c r="S61" s="54">
        <v>6248.9</v>
      </c>
      <c r="T61" s="54">
        <v>6300.35</v>
      </c>
      <c r="U61" s="54">
        <v>6351.9</v>
      </c>
      <c r="V61" s="54">
        <v>6403.4</v>
      </c>
      <c r="W61" s="54">
        <v>6403.4</v>
      </c>
      <c r="X61" s="54">
        <v>6434.2</v>
      </c>
      <c r="Y61" s="54">
        <v>6434.2</v>
      </c>
      <c r="Z61" s="54">
        <v>6465.1</v>
      </c>
      <c r="AA61" s="54">
        <v>6465.1</v>
      </c>
      <c r="AB61" s="54">
        <v>6495.85</v>
      </c>
      <c r="AC61" s="54">
        <v>6495.85</v>
      </c>
      <c r="AD61" s="54">
        <v>6526.55</v>
      </c>
      <c r="AE61" s="54">
        <v>6526.55</v>
      </c>
      <c r="AF61" s="54">
        <v>6557.4</v>
      </c>
      <c r="AG61" s="44"/>
      <c r="AH61" s="49">
        <v>19</v>
      </c>
      <c r="AI61" s="55">
        <f t="shared" si="38"/>
        <v>4316.6499999999996</v>
      </c>
      <c r="AJ61" s="56">
        <f t="shared" si="39"/>
        <v>4910.6499999999996</v>
      </c>
      <c r="AK61" s="57">
        <f t="shared" si="43"/>
        <v>5322.3374999999996</v>
      </c>
      <c r="AL61" s="58">
        <f t="shared" si="43"/>
        <v>5734.0249999999996</v>
      </c>
      <c r="AM61" s="59">
        <f t="shared" si="43"/>
        <v>6145.7124999999996</v>
      </c>
      <c r="AO61" t="e">
        <f>IF(#REF!=Lohntabelle24!AH61,IF(AND(#REF!&lt;Lohntabelle24!AJ61,#REF!&gt;=Lohntabelle24!AI61),"Unterfunktionslohn",IF(AND(#REF!&lt;Lohntabelle24!AK61,#REF!&gt;=Lohntabelle24!AJ61),"1. Quartil",IF(AND(#REF!&lt;Lohntabelle24!AL61,#REF!&gt;=Lohntabelle24!AK61),"2. Quartil",IF(AND(#REF!&lt;Lohntabelle24!AM61,#REF!&gt;=Lohntabelle24!AL61),"3. Quartil",IF(AND(#REF!&gt;=Lohntabelle24!AM61,#REF!&lt;Lohntabelle24!AF61),"4. Quartil",IF(#REF!=Lohntabelle24!AF61,"höchsten Erfahrungswert","Lohnband prüfen")))))),"")</f>
        <v>#REF!</v>
      </c>
      <c r="AP61" t="e">
        <f t="shared" si="41"/>
        <v>#REF!</v>
      </c>
      <c r="AQ61" t="e">
        <f>IF(#REF!=Lohntabelle24!AH61,IF(AND(#REF!&lt;Lohntabelle24!AJ61,#REF!&gt;=Lohntabelle24!AI61),$AS$42,IF(AND(#REF!&lt;Lohntabelle24!AK61,#REF!&gt;=Lohntabelle24!AJ61),$AS$43,IF(AND(#REF!&lt;Lohntabelle24!AL61,#REF!&gt;=Lohntabelle24!AK61),$AS$44,IF(AND(#REF!&lt;Lohntabelle24!AM61,#REF!&gt;=Lohntabelle24!AL61),$AS$45,IF(AND(#REF!&gt;=Lohntabelle24!AM61,#REF!&lt;Lohntabelle24!AF61),$AS$46,IF(#REF!=Lohntabelle24!AF61,"höchster Erfahrungswert","Lohnband prüfen")))))),"")</f>
        <v>#REF!</v>
      </c>
      <c r="AR61" t="e">
        <f>IF(AQ61="","",IF(#REF!='Matrizen 23_24'!$A$3,"",VLOOKUP(#REF!,'Matrizen 23_24'!$A$4:$B$19,2,0)))</f>
        <v>#REF!</v>
      </c>
    </row>
    <row r="62" spans="1:44" x14ac:dyDescent="0.2">
      <c r="A62" s="44"/>
      <c r="B62" s="49">
        <v>20</v>
      </c>
      <c r="C62" s="54">
        <v>4117.05</v>
      </c>
      <c r="D62" s="54">
        <v>4306.45</v>
      </c>
      <c r="E62" s="54">
        <v>4495.8500000000004</v>
      </c>
      <c r="F62" s="54">
        <v>4685.2</v>
      </c>
      <c r="G62" s="54">
        <v>4864.3500000000004</v>
      </c>
      <c r="H62" s="54">
        <v>5043.55</v>
      </c>
      <c r="I62" s="54">
        <v>5222.55</v>
      </c>
      <c r="J62" s="54">
        <v>5401.7</v>
      </c>
      <c r="K62" s="54">
        <v>5480.05</v>
      </c>
      <c r="L62" s="54">
        <v>5558.5</v>
      </c>
      <c r="M62" s="54">
        <v>5636.9</v>
      </c>
      <c r="N62" s="54">
        <v>5715.15</v>
      </c>
      <c r="O62" s="54">
        <v>5765.6</v>
      </c>
      <c r="P62" s="54">
        <v>5815.95</v>
      </c>
      <c r="Q62" s="54">
        <v>5866.35</v>
      </c>
      <c r="R62" s="54">
        <v>5916.85</v>
      </c>
      <c r="S62" s="54">
        <v>5967.15</v>
      </c>
      <c r="T62" s="54">
        <v>6017.45</v>
      </c>
      <c r="U62" s="54">
        <v>6068.05</v>
      </c>
      <c r="V62" s="54">
        <v>6118.35</v>
      </c>
      <c r="W62" s="54">
        <v>6118.35</v>
      </c>
      <c r="X62" s="54">
        <v>6147.55</v>
      </c>
      <c r="Y62" s="54">
        <v>6147.55</v>
      </c>
      <c r="Z62" s="54">
        <v>6176.8</v>
      </c>
      <c r="AA62" s="54">
        <v>6176.8</v>
      </c>
      <c r="AB62" s="54">
        <v>6206.05</v>
      </c>
      <c r="AC62" s="54">
        <v>6206.05</v>
      </c>
      <c r="AD62" s="54">
        <v>6235.3</v>
      </c>
      <c r="AE62" s="54">
        <v>6235.3</v>
      </c>
      <c r="AF62" s="54">
        <v>6264.45</v>
      </c>
      <c r="AG62" s="44"/>
      <c r="AH62" s="49">
        <v>20</v>
      </c>
      <c r="AI62" s="55">
        <f t="shared" si="38"/>
        <v>4117.05</v>
      </c>
      <c r="AJ62" s="56">
        <f t="shared" si="39"/>
        <v>4685.2</v>
      </c>
      <c r="AK62" s="57">
        <f t="shared" si="43"/>
        <v>5080.0124999999998</v>
      </c>
      <c r="AL62" s="58">
        <f t="shared" si="43"/>
        <v>5474.8249999999998</v>
      </c>
      <c r="AM62" s="59">
        <f t="shared" si="43"/>
        <v>5869.6374999999998</v>
      </c>
      <c r="AO62" t="e">
        <f>IF(#REF!=Lohntabelle24!AH62,IF(AND(#REF!&lt;Lohntabelle24!AJ62,#REF!&gt;=Lohntabelle24!AI62),"Unterfunktionslohn",IF(AND(#REF!&lt;Lohntabelle24!AK62,#REF!&gt;=Lohntabelle24!AJ62),"1. Quartil",IF(AND(#REF!&lt;Lohntabelle24!AL62,#REF!&gt;=Lohntabelle24!AK62),"2. Quartil",IF(AND(#REF!&lt;Lohntabelle24!AM62,#REF!&gt;=Lohntabelle24!AL62),"3. Quartil",IF(AND(#REF!&gt;=Lohntabelle24!AM62,#REF!&lt;Lohntabelle24!AF62),"4. Quartil",IF(#REF!=Lohntabelle24!AF62,"höchsten Erfahrungswert","Lohnband prüfen")))))),"")</f>
        <v>#REF!</v>
      </c>
      <c r="AP62" t="e">
        <f t="shared" si="41"/>
        <v>#REF!</v>
      </c>
      <c r="AQ62" t="e">
        <f>IF(#REF!=Lohntabelle24!AH62,IF(AND(#REF!&lt;Lohntabelle24!AJ62,#REF!&gt;=Lohntabelle24!AI62),$AS$42,IF(AND(#REF!&lt;Lohntabelle24!AK62,#REF!&gt;=Lohntabelle24!AJ62),$AS$43,IF(AND(#REF!&lt;Lohntabelle24!AL62,#REF!&gt;=Lohntabelle24!AK62),$AS$44,IF(AND(#REF!&lt;Lohntabelle24!AM62,#REF!&gt;=Lohntabelle24!AL62),$AS$45,IF(AND(#REF!&gt;=Lohntabelle24!AM62,#REF!&lt;Lohntabelle24!AF62),$AS$46,IF(#REF!=Lohntabelle24!AF62,"höchster Erfahrungswert","Lohnband prüfen")))))),"")</f>
        <v>#REF!</v>
      </c>
      <c r="AR62" t="e">
        <f>IF(AQ62="","",IF(#REF!='Matrizen 23_24'!$A$3,"",VLOOKUP(#REF!,'Matrizen 23_24'!$A$4:$B$19,2,0)))</f>
        <v>#REF!</v>
      </c>
    </row>
    <row r="63" spans="1:44" x14ac:dyDescent="0.2">
      <c r="A63" s="44"/>
      <c r="B63" s="49">
        <v>21</v>
      </c>
      <c r="C63" s="54">
        <v>3942.05</v>
      </c>
      <c r="D63" s="54">
        <v>4124.6000000000004</v>
      </c>
      <c r="E63" s="54">
        <v>4307.1499999999996</v>
      </c>
      <c r="F63" s="54">
        <v>4489.75</v>
      </c>
      <c r="G63" s="54">
        <v>4663</v>
      </c>
      <c r="H63" s="54">
        <v>4836.5</v>
      </c>
      <c r="I63" s="54">
        <v>5009.7</v>
      </c>
      <c r="J63" s="54">
        <v>5183</v>
      </c>
      <c r="K63" s="54">
        <v>5258.85</v>
      </c>
      <c r="L63" s="54">
        <v>5334.7</v>
      </c>
      <c r="M63" s="54">
        <v>5410.6</v>
      </c>
      <c r="N63" s="54">
        <v>5486.45</v>
      </c>
      <c r="O63" s="54">
        <v>5531.35</v>
      </c>
      <c r="P63" s="54">
        <v>5576.25</v>
      </c>
      <c r="Q63" s="54">
        <v>5621.35</v>
      </c>
      <c r="R63" s="54">
        <v>5666.2</v>
      </c>
      <c r="S63" s="54">
        <v>5711.1</v>
      </c>
      <c r="T63" s="54">
        <v>5756.1</v>
      </c>
      <c r="U63" s="54">
        <v>5801</v>
      </c>
      <c r="V63" s="54">
        <v>5845.9</v>
      </c>
      <c r="W63" s="54">
        <v>5845.9</v>
      </c>
      <c r="X63" s="54">
        <v>5872.4</v>
      </c>
      <c r="Y63" s="54">
        <v>5872.4</v>
      </c>
      <c r="Z63" s="54">
        <v>5898.85</v>
      </c>
      <c r="AA63" s="54">
        <v>5898.85</v>
      </c>
      <c r="AB63" s="54">
        <v>5925.2</v>
      </c>
      <c r="AC63" s="54">
        <v>5925.2</v>
      </c>
      <c r="AD63" s="54">
        <v>5951.7</v>
      </c>
      <c r="AE63" s="54">
        <v>5951.7</v>
      </c>
      <c r="AF63" s="54">
        <v>5978.1</v>
      </c>
      <c r="AG63" s="44"/>
      <c r="AH63" s="49">
        <v>21</v>
      </c>
      <c r="AI63" s="55">
        <f t="shared" si="38"/>
        <v>3942.05</v>
      </c>
      <c r="AJ63" s="56">
        <f t="shared" si="39"/>
        <v>4489.75</v>
      </c>
      <c r="AK63" s="57">
        <f t="shared" si="43"/>
        <v>4861.8374999999996</v>
      </c>
      <c r="AL63" s="58">
        <f t="shared" si="43"/>
        <v>5233.9249999999993</v>
      </c>
      <c r="AM63" s="59">
        <f t="shared" si="43"/>
        <v>5606.0124999999989</v>
      </c>
      <c r="AO63" t="e">
        <f>IF(#REF!=Lohntabelle24!AH63,IF(AND(#REF!&lt;Lohntabelle24!AJ63,#REF!&gt;=Lohntabelle24!AI63),"Unterfunktionslohn",IF(AND(#REF!&lt;Lohntabelle24!AK63,#REF!&gt;=Lohntabelle24!AJ63),"1. Quartil",IF(AND(#REF!&lt;Lohntabelle24!AL63,#REF!&gt;=Lohntabelle24!AK63),"2. Quartil",IF(AND(#REF!&lt;Lohntabelle24!AM63,#REF!&gt;=Lohntabelle24!AL63),"3. Quartil",IF(AND(#REF!&gt;=Lohntabelle24!AM63,#REF!&lt;Lohntabelle24!AF63),"4. Quartil",IF(#REF!=Lohntabelle24!AF63,"höchsten Erfahrungswert","Lohnband prüfen")))))),"")</f>
        <v>#REF!</v>
      </c>
      <c r="AP63" t="e">
        <f t="shared" si="41"/>
        <v>#REF!</v>
      </c>
      <c r="AQ63" t="e">
        <f>IF(#REF!=Lohntabelle24!AH63,IF(AND(#REF!&lt;Lohntabelle24!AJ63,#REF!&gt;=Lohntabelle24!AI63),$AS$42,IF(AND(#REF!&lt;Lohntabelle24!AK63,#REF!&gt;=Lohntabelle24!AJ63),$AS$43,IF(AND(#REF!&lt;Lohntabelle24!AL63,#REF!&gt;=Lohntabelle24!AK63),$AS$44,IF(AND(#REF!&lt;Lohntabelle24!AM63,#REF!&gt;=Lohntabelle24!AL63),$AS$45,IF(AND(#REF!&gt;=Lohntabelle24!AM63,#REF!&lt;Lohntabelle24!AF63),$AS$46,IF(#REF!=Lohntabelle24!AF63,"höchster Erfahrungswert","Lohnband prüfen")))))),"")</f>
        <v>#REF!</v>
      </c>
      <c r="AR63" t="e">
        <f>IF(AQ63="","",IF(#REF!='Matrizen 23_24'!$A$3,"",VLOOKUP(#REF!,'Matrizen 23_24'!$A$4:$B$19,2,0)))</f>
        <v>#REF!</v>
      </c>
    </row>
    <row r="64" spans="1:44" x14ac:dyDescent="0.2">
      <c r="A64" s="44"/>
      <c r="B64" s="49">
        <v>22</v>
      </c>
      <c r="C64" s="54">
        <v>3781.3</v>
      </c>
      <c r="D64" s="54">
        <v>3957.5</v>
      </c>
      <c r="E64" s="54">
        <v>4133.8500000000004</v>
      </c>
      <c r="F64" s="54">
        <v>4310.2</v>
      </c>
      <c r="G64" s="54">
        <v>4478.25</v>
      </c>
      <c r="H64" s="54">
        <v>4646.2</v>
      </c>
      <c r="I64" s="54">
        <v>4814.3</v>
      </c>
      <c r="J64" s="54">
        <v>4982.3</v>
      </c>
      <c r="K64" s="54">
        <v>5055.8500000000004</v>
      </c>
      <c r="L64" s="54">
        <v>5129.3</v>
      </c>
      <c r="M64" s="54">
        <v>5202.8500000000004</v>
      </c>
      <c r="N64" s="54">
        <v>5276.5</v>
      </c>
      <c r="O64" s="54">
        <v>5319.65</v>
      </c>
      <c r="P64" s="54">
        <v>5362.65</v>
      </c>
      <c r="Q64" s="54">
        <v>5405.8</v>
      </c>
      <c r="R64" s="54">
        <v>5448.95</v>
      </c>
      <c r="S64" s="54">
        <v>5492</v>
      </c>
      <c r="T64" s="54">
        <v>5535.2</v>
      </c>
      <c r="U64" s="54">
        <v>5578.4</v>
      </c>
      <c r="V64" s="54">
        <v>5621.6</v>
      </c>
      <c r="W64" s="54">
        <v>5621.6</v>
      </c>
      <c r="X64" s="54">
        <v>5645.2</v>
      </c>
      <c r="Y64" s="54">
        <v>5645.2</v>
      </c>
      <c r="Z64" s="54">
        <v>5669.05</v>
      </c>
      <c r="AA64" s="54">
        <v>5669.05</v>
      </c>
      <c r="AB64" s="54">
        <v>5692.85</v>
      </c>
      <c r="AC64" s="54">
        <v>5692.85</v>
      </c>
      <c r="AD64" s="54">
        <v>5716.45</v>
      </c>
      <c r="AE64" s="54">
        <v>5716.45</v>
      </c>
      <c r="AF64" s="54">
        <v>5740.35</v>
      </c>
      <c r="AG64" s="44"/>
      <c r="AH64" s="49">
        <v>22</v>
      </c>
      <c r="AI64" s="55">
        <f t="shared" si="38"/>
        <v>3781.3</v>
      </c>
      <c r="AJ64" s="56">
        <f t="shared" si="39"/>
        <v>4310.2</v>
      </c>
      <c r="AK64" s="57">
        <f t="shared" si="43"/>
        <v>4667.7375000000002</v>
      </c>
      <c r="AL64" s="58">
        <f t="shared" si="43"/>
        <v>5025.2750000000005</v>
      </c>
      <c r="AM64" s="59">
        <f t="shared" si="43"/>
        <v>5382.8125000000009</v>
      </c>
      <c r="AO64" t="e">
        <f>IF(#REF!=Lohntabelle24!AH64,IF(AND(#REF!&lt;Lohntabelle24!AJ64,#REF!&gt;=Lohntabelle24!AI64),"Unterfunktionslohn",IF(AND(#REF!&lt;Lohntabelle24!AK64,#REF!&gt;=Lohntabelle24!AJ64),"1. Quartil",IF(AND(#REF!&lt;Lohntabelle24!AL64,#REF!&gt;=Lohntabelle24!AK64),"2. Quartil",IF(AND(#REF!&lt;Lohntabelle24!AM64,#REF!&gt;=Lohntabelle24!AL64),"3. Quartil",IF(AND(#REF!&gt;=Lohntabelle24!AM64,#REF!&lt;Lohntabelle24!AF64),"4. Quartil",IF(#REF!=Lohntabelle24!AF64,"höchsten Erfahrungswert","Lohnband prüfen")))))),"")</f>
        <v>#REF!</v>
      </c>
      <c r="AP64" t="e">
        <f t="shared" si="41"/>
        <v>#REF!</v>
      </c>
      <c r="AQ64" t="e">
        <f>IF(#REF!=Lohntabelle24!AH64,IF(AND(#REF!&lt;Lohntabelle24!AJ64,#REF!&gt;=Lohntabelle24!AI64),$AS$42,IF(AND(#REF!&lt;Lohntabelle24!AK64,#REF!&gt;=Lohntabelle24!AJ64),$AS$43,IF(AND(#REF!&lt;Lohntabelle24!AL64,#REF!&gt;=Lohntabelle24!AK64),$AS$44,IF(AND(#REF!&lt;Lohntabelle24!AM64,#REF!&gt;=Lohntabelle24!AL64),$AS$45,IF(AND(#REF!&gt;=Lohntabelle24!AM64,#REF!&lt;Lohntabelle24!AF64),$AS$46,IF(#REF!=Lohntabelle24!AF64,"höchster Erfahrungswert","Lohnband prüfen")))))),"")</f>
        <v>#REF!</v>
      </c>
      <c r="AR64" t="e">
        <f>IF(AQ64="","",IF(#REF!='Matrizen 23_24'!$A$3,"",VLOOKUP(#REF!,'Matrizen 23_24'!$A$4:$B$19,2,0)))</f>
        <v>#REF!</v>
      </c>
    </row>
    <row r="65" spans="1:46" x14ac:dyDescent="0.2">
      <c r="A65" s="44"/>
      <c r="B65" s="49">
        <v>23</v>
      </c>
      <c r="C65" s="54">
        <v>3634.75</v>
      </c>
      <c r="D65" s="54">
        <v>3805.35</v>
      </c>
      <c r="E65" s="54">
        <v>3975.9</v>
      </c>
      <c r="F65" s="54">
        <v>4146.45</v>
      </c>
      <c r="G65" s="54">
        <v>4309.75</v>
      </c>
      <c r="H65" s="54">
        <v>4473.05</v>
      </c>
      <c r="I65" s="54">
        <v>4636.3</v>
      </c>
      <c r="J65" s="54">
        <v>4799.5</v>
      </c>
      <c r="K65" s="54">
        <v>4870.8999999999996</v>
      </c>
      <c r="L65" s="54">
        <v>4942.3500000000004</v>
      </c>
      <c r="M65" s="54">
        <v>5013.8</v>
      </c>
      <c r="N65" s="54">
        <v>5085.25</v>
      </c>
      <c r="O65" s="54">
        <v>5126.55</v>
      </c>
      <c r="P65" s="54">
        <v>5167.6499999999996</v>
      </c>
      <c r="Q65" s="54">
        <v>5209</v>
      </c>
      <c r="R65" s="54">
        <v>5250.2</v>
      </c>
      <c r="S65" s="54">
        <v>5291.55</v>
      </c>
      <c r="T65" s="54">
        <v>5332.75</v>
      </c>
      <c r="U65" s="54">
        <v>5374.05</v>
      </c>
      <c r="V65" s="54">
        <v>5407.1</v>
      </c>
      <c r="W65" s="54">
        <v>5407.1</v>
      </c>
      <c r="X65" s="54">
        <v>5430</v>
      </c>
      <c r="Y65" s="54">
        <v>5430</v>
      </c>
      <c r="Z65" s="54">
        <v>5453.05</v>
      </c>
      <c r="AA65" s="54">
        <v>5453.05</v>
      </c>
      <c r="AB65" s="54">
        <v>5476</v>
      </c>
      <c r="AC65" s="54">
        <v>5476</v>
      </c>
      <c r="AD65" s="54">
        <v>5498.85</v>
      </c>
      <c r="AE65" s="54">
        <v>5498.85</v>
      </c>
      <c r="AF65" s="54">
        <v>5521.9</v>
      </c>
      <c r="AG65" s="44"/>
      <c r="AH65" s="49">
        <v>23</v>
      </c>
      <c r="AI65" s="55">
        <f t="shared" si="38"/>
        <v>3634.75</v>
      </c>
      <c r="AJ65" s="56">
        <f t="shared" si="39"/>
        <v>4146.45</v>
      </c>
      <c r="AK65" s="57">
        <f t="shared" si="43"/>
        <v>4490.3125</v>
      </c>
      <c r="AL65" s="58">
        <f t="shared" si="43"/>
        <v>4834.1750000000002</v>
      </c>
      <c r="AM65" s="59">
        <f t="shared" si="43"/>
        <v>5178.0375000000004</v>
      </c>
      <c r="AO65" t="e">
        <f>IF(#REF!=Lohntabelle24!AH65,IF(AND(#REF!&lt;Lohntabelle24!AJ65,#REF!&gt;=Lohntabelle24!AI65),"Unterfunktionslohn",IF(AND(#REF!&lt;Lohntabelle24!AK65,#REF!&gt;=Lohntabelle24!AJ65),"1. Quartil",IF(AND(#REF!&lt;Lohntabelle24!AL65,#REF!&gt;=Lohntabelle24!AK65),"2. Quartil",IF(AND(#REF!&lt;Lohntabelle24!AM65,#REF!&gt;=Lohntabelle24!AL65),"3. Quartil",IF(AND(#REF!&gt;=Lohntabelle24!AM65,#REF!&lt;Lohntabelle24!AF65),"4. Quartil",IF(#REF!=Lohntabelle24!AF65,"höchsten Erfahrungswert","Lohnband prüfen")))))),"")</f>
        <v>#REF!</v>
      </c>
      <c r="AP65" t="e">
        <f t="shared" si="41"/>
        <v>#REF!</v>
      </c>
      <c r="AQ65" t="e">
        <f>IF(#REF!=Lohntabelle24!AH65,IF(AND(#REF!&lt;Lohntabelle24!AJ65,#REF!&gt;=Lohntabelle24!AI65),$AS$42,IF(AND(#REF!&lt;Lohntabelle24!AK65,#REF!&gt;=Lohntabelle24!AJ65),$AS$43,IF(AND(#REF!&lt;Lohntabelle24!AL65,#REF!&gt;=Lohntabelle24!AK65),$AS$44,IF(AND(#REF!&lt;Lohntabelle24!AM65,#REF!&gt;=Lohntabelle24!AL65),$AS$45,IF(AND(#REF!&gt;=Lohntabelle24!AM65,#REF!&lt;Lohntabelle24!AF65),$AS$46,IF(#REF!=Lohntabelle24!AF65,"höchster Erfahrungswert","Lohnband prüfen")))))),"")</f>
        <v>#REF!</v>
      </c>
      <c r="AR65" t="e">
        <f>IF(AQ65="","",IF(#REF!='Matrizen 23_24'!$A$3,"",VLOOKUP(#REF!,'Matrizen 23_24'!$A$4:$B$19,2,0)))</f>
        <v>#REF!</v>
      </c>
    </row>
    <row r="66" spans="1:46" x14ac:dyDescent="0.2">
      <c r="A66" s="44"/>
      <c r="B66" s="49">
        <v>24</v>
      </c>
      <c r="C66" s="54">
        <v>3501.75</v>
      </c>
      <c r="D66" s="54">
        <v>3667.25</v>
      </c>
      <c r="E66" s="54">
        <v>3832.75</v>
      </c>
      <c r="F66" s="54">
        <v>3998.4</v>
      </c>
      <c r="G66" s="54">
        <v>4157.3999999999996</v>
      </c>
      <c r="H66" s="54">
        <v>4316.6000000000004</v>
      </c>
      <c r="I66" s="54">
        <v>4475.55</v>
      </c>
      <c r="J66" s="54">
        <v>4634.6499999999996</v>
      </c>
      <c r="K66" s="54">
        <v>4704.3</v>
      </c>
      <c r="L66" s="54">
        <v>4773.8999999999996</v>
      </c>
      <c r="M66" s="54">
        <v>4843.3999999999996</v>
      </c>
      <c r="N66" s="54">
        <v>4913.1499999999996</v>
      </c>
      <c r="O66" s="54">
        <v>4952.5</v>
      </c>
      <c r="P66" s="54">
        <v>4991.8500000000004</v>
      </c>
      <c r="Q66" s="54">
        <v>5031.3500000000004</v>
      </c>
      <c r="R66" s="54">
        <v>5070.75</v>
      </c>
      <c r="S66" s="54">
        <v>5110</v>
      </c>
      <c r="T66" s="54">
        <v>5149.3500000000004</v>
      </c>
      <c r="U66" s="54">
        <v>5186.1499999999996</v>
      </c>
      <c r="V66" s="54">
        <v>5209.05</v>
      </c>
      <c r="W66" s="54">
        <v>5209.05</v>
      </c>
      <c r="X66" s="54">
        <v>5232.05</v>
      </c>
      <c r="Y66" s="54">
        <v>5232.05</v>
      </c>
      <c r="Z66" s="54">
        <v>5254.95</v>
      </c>
      <c r="AA66" s="54">
        <v>5254.95</v>
      </c>
      <c r="AB66" s="54">
        <v>5277.85</v>
      </c>
      <c r="AC66" s="54">
        <v>5277.85</v>
      </c>
      <c r="AD66" s="54">
        <v>5300.7</v>
      </c>
      <c r="AE66" s="54">
        <v>5300.7</v>
      </c>
      <c r="AF66" s="54">
        <v>5323.75</v>
      </c>
      <c r="AG66" s="44"/>
      <c r="AH66" s="49">
        <v>24</v>
      </c>
      <c r="AI66" s="55">
        <f t="shared" si="38"/>
        <v>3501.75</v>
      </c>
      <c r="AJ66" s="56">
        <f t="shared" si="39"/>
        <v>3998.4</v>
      </c>
      <c r="AK66" s="57">
        <f t="shared" si="43"/>
        <v>4329.7375000000002</v>
      </c>
      <c r="AL66" s="58">
        <f t="shared" si="43"/>
        <v>4661.0749999999998</v>
      </c>
      <c r="AM66" s="59">
        <f t="shared" si="43"/>
        <v>4992.4124999999995</v>
      </c>
      <c r="AO66" t="e">
        <f>IF(#REF!=Lohntabelle24!AH66,IF(AND(#REF!&lt;Lohntabelle24!AJ66,#REF!&gt;=Lohntabelle24!AI66),"Unterfunktionslohn",IF(AND(#REF!&lt;Lohntabelle24!AK66,#REF!&gt;=Lohntabelle24!AJ66),"1. Quartil",IF(AND(#REF!&lt;Lohntabelle24!AL66,#REF!&gt;=Lohntabelle24!AK66),"2. Quartil",IF(AND(#REF!&lt;Lohntabelle24!AM66,#REF!&gt;=Lohntabelle24!AL66),"3. Quartil",IF(AND(#REF!&gt;=Lohntabelle24!AM66,#REF!&lt;Lohntabelle24!AF66),"4. Quartil",IF(#REF!=Lohntabelle24!AF66,"höchsten Erfahrungswert","Lohnband prüfen")))))),"")</f>
        <v>#REF!</v>
      </c>
      <c r="AP66" t="e">
        <f t="shared" si="41"/>
        <v>#REF!</v>
      </c>
      <c r="AQ66" t="e">
        <f>IF(#REF!=Lohntabelle24!AH66,IF(AND(#REF!&lt;Lohntabelle24!AJ66,#REF!&gt;=Lohntabelle24!AI66),$AS$42,IF(AND(#REF!&lt;Lohntabelle24!AK66,#REF!&gt;=Lohntabelle24!AJ66),$AS$43,IF(AND(#REF!&lt;Lohntabelle24!AL66,#REF!&gt;=Lohntabelle24!AK66),$AS$44,IF(AND(#REF!&lt;Lohntabelle24!AM66,#REF!&gt;=Lohntabelle24!AL66),$AS$45,IF(AND(#REF!&gt;=Lohntabelle24!AM66,#REF!&lt;Lohntabelle24!AF66),$AS$46,IF(#REF!=Lohntabelle24!AF66,"höchster Erfahrungswert","Lohnband prüfen")))))),"")</f>
        <v>#REF!</v>
      </c>
      <c r="AR66" t="e">
        <f>IF(AQ66="","",IF(#REF!='Matrizen 23_24'!$A$3,"",VLOOKUP(#REF!,'Matrizen 23_24'!$A$4:$B$19,2,0)))</f>
        <v>#REF!</v>
      </c>
    </row>
    <row r="67" spans="1:46" x14ac:dyDescent="0.2">
      <c r="A67" s="44"/>
      <c r="B67" s="49">
        <v>25</v>
      </c>
      <c r="C67" s="54">
        <v>3382.45</v>
      </c>
      <c r="D67" s="54">
        <v>3543.6</v>
      </c>
      <c r="E67" s="54">
        <v>3704.9</v>
      </c>
      <c r="F67" s="54">
        <v>3866.15</v>
      </c>
      <c r="G67" s="54">
        <v>4021.45</v>
      </c>
      <c r="H67" s="54">
        <v>4176.8500000000004</v>
      </c>
      <c r="I67" s="54">
        <v>4332.1499999999996</v>
      </c>
      <c r="J67" s="54">
        <v>4487.45</v>
      </c>
      <c r="K67" s="54">
        <v>4555.55</v>
      </c>
      <c r="L67" s="54">
        <v>4623.5</v>
      </c>
      <c r="M67" s="54">
        <v>4691.55</v>
      </c>
      <c r="N67" s="54">
        <v>4759.5</v>
      </c>
      <c r="O67" s="54">
        <v>4797.1000000000004</v>
      </c>
      <c r="P67" s="54">
        <v>4834.6000000000004</v>
      </c>
      <c r="Q67" s="54">
        <v>4872.1000000000004</v>
      </c>
      <c r="R67" s="54">
        <v>4909.6499999999996</v>
      </c>
      <c r="S67" s="54">
        <v>4947.25</v>
      </c>
      <c r="T67" s="54">
        <v>4984.55</v>
      </c>
      <c r="U67" s="54">
        <v>5007.55</v>
      </c>
      <c r="V67" s="54">
        <v>5030.45</v>
      </c>
      <c r="W67" s="54">
        <v>5030.45</v>
      </c>
      <c r="X67" s="54">
        <v>5053.3999999999996</v>
      </c>
      <c r="Y67" s="54">
        <v>5053.3999999999996</v>
      </c>
      <c r="Z67" s="54">
        <v>5076.25</v>
      </c>
      <c r="AA67" s="54">
        <v>5076.25</v>
      </c>
      <c r="AB67" s="54">
        <v>5099.25</v>
      </c>
      <c r="AC67" s="54">
        <v>5099.25</v>
      </c>
      <c r="AD67" s="54">
        <v>5122.25</v>
      </c>
      <c r="AE67" s="54">
        <v>5122.25</v>
      </c>
      <c r="AF67" s="54">
        <v>5145.2</v>
      </c>
      <c r="AG67" s="44"/>
      <c r="AH67" s="49">
        <v>25</v>
      </c>
      <c r="AI67" s="55">
        <f t="shared" si="38"/>
        <v>3382.45</v>
      </c>
      <c r="AJ67" s="56">
        <f t="shared" si="39"/>
        <v>3866.15</v>
      </c>
      <c r="AK67" s="57">
        <f t="shared" si="43"/>
        <v>4185.9125000000004</v>
      </c>
      <c r="AL67" s="58">
        <f t="shared" si="43"/>
        <v>4505.6750000000002</v>
      </c>
      <c r="AM67" s="59">
        <f t="shared" si="43"/>
        <v>4825.4375</v>
      </c>
      <c r="AO67" t="e">
        <f>IF(#REF!=Lohntabelle24!AH67,IF(AND(#REF!&lt;Lohntabelle24!AJ67,#REF!&gt;=Lohntabelle24!AI67),"Unterfunktionslohn",IF(AND(#REF!&lt;Lohntabelle24!AK67,#REF!&gt;=Lohntabelle24!AJ67),"1. Quartil",IF(AND(#REF!&lt;Lohntabelle24!AL67,#REF!&gt;=Lohntabelle24!AK67),"2. Quartil",IF(AND(#REF!&lt;Lohntabelle24!AM67,#REF!&gt;=Lohntabelle24!AL67),"3. Quartil",IF(AND(#REF!&gt;=Lohntabelle24!AM67,#REF!&lt;Lohntabelle24!AF67),"4. Quartil",IF(#REF!=Lohntabelle24!AF67,"höchsten Erfahrungswert","Lohnband prüfen")))))),"")</f>
        <v>#REF!</v>
      </c>
      <c r="AP67" t="e">
        <f t="shared" si="41"/>
        <v>#REF!</v>
      </c>
      <c r="AQ67" t="e">
        <f>IF(#REF!=Lohntabelle24!AH67,IF(AND(#REF!&lt;Lohntabelle24!AJ67,#REF!&gt;=Lohntabelle24!AI67),$AS$42,IF(AND(#REF!&lt;Lohntabelle24!AK67,#REF!&gt;=Lohntabelle24!AJ67),$AS$43,IF(AND(#REF!&lt;Lohntabelle24!AL67,#REF!&gt;=Lohntabelle24!AK67),$AS$44,IF(AND(#REF!&lt;Lohntabelle24!AM67,#REF!&gt;=Lohntabelle24!AL67),$AS$45,IF(AND(#REF!&gt;=Lohntabelle24!AM67,#REF!&lt;Lohntabelle24!AF67),$AS$46,IF(#REF!=Lohntabelle24!AF67,"höchster Erfahrungswert","Lohnband prüfen")))))),"")</f>
        <v>#REF!</v>
      </c>
      <c r="AR67" t="e">
        <f>IF(AQ67="","",IF(#REF!='Matrizen 23_24'!$A$3,"",VLOOKUP(#REF!,'Matrizen 23_24'!$A$4:$B$19,2,0)))</f>
        <v>#REF!</v>
      </c>
    </row>
    <row r="68" spans="1:46" x14ac:dyDescent="0.2">
      <c r="A68" s="44"/>
      <c r="B68" s="49">
        <v>26</v>
      </c>
      <c r="C68" s="54">
        <v>3280.15</v>
      </c>
      <c r="D68" s="54">
        <v>3437.2</v>
      </c>
      <c r="E68" s="54">
        <v>3594.45</v>
      </c>
      <c r="F68" s="54">
        <v>3751.55</v>
      </c>
      <c r="G68" s="54">
        <v>3903.35</v>
      </c>
      <c r="H68" s="54">
        <v>4054.9</v>
      </c>
      <c r="I68" s="54">
        <v>4206.55</v>
      </c>
      <c r="J68" s="54">
        <v>4358.2</v>
      </c>
      <c r="K68" s="54">
        <v>4424.6499999999996</v>
      </c>
      <c r="L68" s="54">
        <v>4491.1000000000004</v>
      </c>
      <c r="M68" s="54">
        <v>4557.3999999999996</v>
      </c>
      <c r="N68" s="54">
        <v>4623.75</v>
      </c>
      <c r="O68" s="54">
        <v>4659.5</v>
      </c>
      <c r="P68" s="54">
        <v>4695.3500000000004</v>
      </c>
      <c r="Q68" s="54">
        <v>4731</v>
      </c>
      <c r="R68" s="54">
        <v>4766.8</v>
      </c>
      <c r="S68" s="54">
        <v>4802.6499999999996</v>
      </c>
      <c r="T68" s="54">
        <v>4825.6000000000004</v>
      </c>
      <c r="U68" s="54">
        <v>4848.45</v>
      </c>
      <c r="V68" s="54">
        <v>4871.3999999999996</v>
      </c>
      <c r="W68" s="54">
        <v>4871.3999999999996</v>
      </c>
      <c r="X68" s="54">
        <v>4894.3500000000004</v>
      </c>
      <c r="Y68" s="54">
        <v>4894.3500000000004</v>
      </c>
      <c r="Z68" s="54">
        <v>4917.2</v>
      </c>
      <c r="AA68" s="54">
        <v>4917.2</v>
      </c>
      <c r="AB68" s="54">
        <v>4940.25</v>
      </c>
      <c r="AC68" s="54">
        <v>4940.25</v>
      </c>
      <c r="AD68" s="54">
        <v>4963.05</v>
      </c>
      <c r="AE68" s="54">
        <v>4963.05</v>
      </c>
      <c r="AF68" s="54">
        <v>4986.1000000000004</v>
      </c>
      <c r="AG68" s="44"/>
      <c r="AH68" s="49">
        <v>26</v>
      </c>
      <c r="AI68" s="55">
        <f t="shared" si="38"/>
        <v>3280.15</v>
      </c>
      <c r="AJ68" s="56">
        <f t="shared" si="39"/>
        <v>3751.55</v>
      </c>
      <c r="AK68" s="57">
        <f t="shared" si="43"/>
        <v>4060.1875</v>
      </c>
      <c r="AL68" s="58">
        <f t="shared" si="43"/>
        <v>4368.8249999999998</v>
      </c>
      <c r="AM68" s="59">
        <f t="shared" si="43"/>
        <v>4677.4624999999996</v>
      </c>
      <c r="AO68" t="e">
        <f>IF(#REF!=Lohntabelle24!AH68,IF(AND(#REF!&lt;Lohntabelle24!AJ68,#REF!&gt;=Lohntabelle24!AI68),"Unterfunktionslohn",IF(AND(#REF!&lt;Lohntabelle24!AK68,#REF!&gt;=Lohntabelle24!AJ68),"1. Quartil",IF(AND(#REF!&lt;Lohntabelle24!AL68,#REF!&gt;=Lohntabelle24!AK68),"2. Quartil",IF(AND(#REF!&lt;Lohntabelle24!AM68,#REF!&gt;=Lohntabelle24!AL68),"3. Quartil",IF(AND(#REF!&gt;=Lohntabelle24!AM68,#REF!&lt;Lohntabelle24!AF68),"4. Quartil",IF(#REF!=Lohntabelle24!AF68,"höchsten Erfahrungswert","Lohnband prüfen")))))),"")</f>
        <v>#REF!</v>
      </c>
      <c r="AP68" t="e">
        <f t="shared" si="41"/>
        <v>#REF!</v>
      </c>
      <c r="AQ68" t="e">
        <f>IF(#REF!=Lohntabelle24!AH68,IF(AND(#REF!&lt;Lohntabelle24!AJ68,#REF!&gt;=Lohntabelle24!AI68),$AS$42,IF(AND(#REF!&lt;Lohntabelle24!AK68,#REF!&gt;=Lohntabelle24!AJ68),$AS$43,IF(AND(#REF!&lt;Lohntabelle24!AL68,#REF!&gt;=Lohntabelle24!AK68),$AS$44,IF(AND(#REF!&lt;Lohntabelle24!AM68,#REF!&gt;=Lohntabelle24!AL68),$AS$45,IF(AND(#REF!&gt;=Lohntabelle24!AM68,#REF!&lt;Lohntabelle24!AF68),$AS$46,IF(#REF!=Lohntabelle24!AF68,"höchster Erfahrungswert","Lohnband prüfen")))))),"")</f>
        <v>#REF!</v>
      </c>
      <c r="AR68" t="e">
        <f>IF(AQ68="","",IF(#REF!='Matrizen 23_24'!$A$3,"",VLOOKUP(#REF!,'Matrizen 23_24'!$A$4:$B$19,2,0)))</f>
        <v>#REF!</v>
      </c>
    </row>
    <row r="69" spans="1:46" x14ac:dyDescent="0.2">
      <c r="A69" s="44"/>
      <c r="B69" s="49">
        <v>27</v>
      </c>
      <c r="C69" s="54">
        <v>3185.75</v>
      </c>
      <c r="D69" s="54">
        <v>3340.1</v>
      </c>
      <c r="E69" s="54">
        <v>3494.6</v>
      </c>
      <c r="F69" s="54">
        <v>3648.9</v>
      </c>
      <c r="G69" s="54">
        <v>3797.9</v>
      </c>
      <c r="H69" s="54">
        <v>3946.95</v>
      </c>
      <c r="I69" s="54">
        <v>4095.95</v>
      </c>
      <c r="J69" s="54">
        <v>4244.8500000000004</v>
      </c>
      <c r="K69" s="54">
        <v>4310.1499999999996</v>
      </c>
      <c r="L69" s="54">
        <v>4375.3999999999996</v>
      </c>
      <c r="M69" s="54">
        <v>4440.6000000000004</v>
      </c>
      <c r="N69" s="54">
        <v>4505.8</v>
      </c>
      <c r="O69" s="54">
        <v>4539.75</v>
      </c>
      <c r="P69" s="54">
        <v>4573.75</v>
      </c>
      <c r="Q69" s="54">
        <v>4607.7</v>
      </c>
      <c r="R69" s="54">
        <v>4640.45</v>
      </c>
      <c r="S69" s="54">
        <v>4663.3999999999996</v>
      </c>
      <c r="T69" s="54">
        <v>4686.3999999999996</v>
      </c>
      <c r="U69" s="54">
        <v>4709.3500000000004</v>
      </c>
      <c r="V69" s="54">
        <v>4732.3500000000004</v>
      </c>
      <c r="W69" s="54">
        <v>4732.3500000000004</v>
      </c>
      <c r="X69" s="54">
        <v>4755.1000000000004</v>
      </c>
      <c r="Y69" s="54">
        <v>4755.1000000000004</v>
      </c>
      <c r="Z69" s="54">
        <v>4778.05</v>
      </c>
      <c r="AA69" s="54">
        <v>4778.05</v>
      </c>
      <c r="AB69" s="54">
        <v>4801.05</v>
      </c>
      <c r="AC69" s="54">
        <v>4801.05</v>
      </c>
      <c r="AD69" s="54">
        <v>4823.95</v>
      </c>
      <c r="AE69" s="54">
        <v>4823.95</v>
      </c>
      <c r="AF69" s="54">
        <v>4846.8999999999996</v>
      </c>
      <c r="AG69" s="44"/>
      <c r="AH69" s="49">
        <v>27</v>
      </c>
      <c r="AI69" s="55">
        <f t="shared" si="38"/>
        <v>3185.75</v>
      </c>
      <c r="AJ69" s="56">
        <f t="shared" si="39"/>
        <v>3648.9</v>
      </c>
      <c r="AK69" s="57">
        <f t="shared" si="43"/>
        <v>3948.4</v>
      </c>
      <c r="AL69" s="58">
        <f t="shared" si="43"/>
        <v>4247.8999999999996</v>
      </c>
      <c r="AM69" s="59">
        <f t="shared" si="43"/>
        <v>4547.3999999999996</v>
      </c>
      <c r="AO69" t="e">
        <f>IF(#REF!=Lohntabelle24!AH69,IF(AND(#REF!&lt;Lohntabelle24!AJ69,#REF!&gt;=Lohntabelle24!AI69),"Unterfunktionslohn",IF(AND(#REF!&lt;Lohntabelle24!AK69,#REF!&gt;=Lohntabelle24!AJ69),"1. Quartil",IF(AND(#REF!&lt;Lohntabelle24!AL69,#REF!&gt;=Lohntabelle24!AK69),"2. Quartil",IF(AND(#REF!&lt;Lohntabelle24!AM69,#REF!&gt;=Lohntabelle24!AL69),"3. Quartil",IF(AND(#REF!&gt;=Lohntabelle24!AM69,#REF!&lt;Lohntabelle24!AF69),"4. Quartil",IF(#REF!=Lohntabelle24!AF69,"höchsten Erfahrungswert","Lohnband prüfen")))))),"")</f>
        <v>#REF!</v>
      </c>
      <c r="AP69" t="e">
        <f t="shared" si="41"/>
        <v>#REF!</v>
      </c>
      <c r="AQ69" t="e">
        <f>IF(#REF!=Lohntabelle24!AH69,IF(AND(#REF!&lt;Lohntabelle24!AJ69,#REF!&gt;=Lohntabelle24!AI69),$AS$42,IF(AND(#REF!&lt;Lohntabelle24!AK69,#REF!&gt;=Lohntabelle24!AJ69),$AS$43,IF(AND(#REF!&lt;Lohntabelle24!AL69,#REF!&gt;=Lohntabelle24!AK69),$AS$44,IF(AND(#REF!&lt;Lohntabelle24!AM69,#REF!&gt;=Lohntabelle24!AL69),$AS$45,IF(AND(#REF!&gt;=Lohntabelle24!AM69,#REF!&lt;Lohntabelle24!AF69),$AS$46,IF(#REF!=Lohntabelle24!AF69,"höchster Erfahrungswert","Lohnband prüfen")))))),"")</f>
        <v>#REF!</v>
      </c>
      <c r="AR69" t="e">
        <f>IF(AQ69="","",IF(#REF!='Matrizen 23_24'!$A$3,"",VLOOKUP(#REF!,'Matrizen 23_24'!$A$4:$B$19,2,0)))</f>
        <v>#REF!</v>
      </c>
    </row>
    <row r="70" spans="1:46" ht="15" thickBot="1" x14ac:dyDescent="0.25">
      <c r="A70" s="44"/>
      <c r="B70" s="49">
        <v>28</v>
      </c>
      <c r="C70" s="54">
        <v>3108.4</v>
      </c>
      <c r="D70" s="54">
        <v>3260.2</v>
      </c>
      <c r="E70" s="54">
        <v>3412.2</v>
      </c>
      <c r="F70" s="54">
        <v>3563.95</v>
      </c>
      <c r="G70" s="54">
        <v>3710.45</v>
      </c>
      <c r="H70" s="54">
        <v>3857.1</v>
      </c>
      <c r="I70" s="54">
        <v>4003.65</v>
      </c>
      <c r="J70" s="54">
        <v>4150.25</v>
      </c>
      <c r="K70" s="54">
        <v>4216</v>
      </c>
      <c r="L70" s="54">
        <v>4281.8500000000004</v>
      </c>
      <c r="M70" s="54">
        <v>4347.8999999999996</v>
      </c>
      <c r="N70" s="54">
        <v>4413.6499999999996</v>
      </c>
      <c r="O70" s="54">
        <v>4444.8</v>
      </c>
      <c r="P70" s="54">
        <v>4474.25</v>
      </c>
      <c r="Q70" s="54">
        <v>4497.2</v>
      </c>
      <c r="R70" s="54">
        <v>4520.1499999999996</v>
      </c>
      <c r="S70" s="54">
        <v>4543.05</v>
      </c>
      <c r="T70" s="54">
        <v>4566.05</v>
      </c>
      <c r="U70" s="54">
        <v>4588.95</v>
      </c>
      <c r="V70" s="54">
        <v>4611.8999999999996</v>
      </c>
      <c r="W70" s="54">
        <v>4611.8999999999996</v>
      </c>
      <c r="X70" s="54">
        <v>4634.8</v>
      </c>
      <c r="Y70" s="54">
        <v>4634.8</v>
      </c>
      <c r="Z70" s="54">
        <v>4657.8500000000004</v>
      </c>
      <c r="AA70" s="54">
        <v>4657.8500000000004</v>
      </c>
      <c r="AB70" s="54">
        <v>4680.75</v>
      </c>
      <c r="AC70" s="54">
        <v>4680.75</v>
      </c>
      <c r="AD70" s="54">
        <v>4703.6499999999996</v>
      </c>
      <c r="AE70" s="54">
        <v>4703.6499999999996</v>
      </c>
      <c r="AF70" s="54">
        <v>4726.6000000000004</v>
      </c>
      <c r="AG70" s="44"/>
      <c r="AH70" s="49">
        <v>28</v>
      </c>
      <c r="AI70" s="55">
        <f t="shared" si="38"/>
        <v>3108.4</v>
      </c>
      <c r="AJ70" s="56">
        <f t="shared" si="39"/>
        <v>3563.95</v>
      </c>
      <c r="AK70" s="57">
        <f t="shared" si="43"/>
        <v>3854.6125000000002</v>
      </c>
      <c r="AL70" s="58">
        <f t="shared" si="43"/>
        <v>4145.2750000000005</v>
      </c>
      <c r="AM70" s="59">
        <f t="shared" si="43"/>
        <v>4435.9375000000009</v>
      </c>
      <c r="AO70" t="e">
        <f>IF(#REF!=Lohntabelle24!AH70,IF(AND(#REF!&lt;Lohntabelle24!AJ70,#REF!&gt;=Lohntabelle24!AI70),"Unterfunktionslohn",IF(AND(#REF!&lt;Lohntabelle24!AK70,#REF!&gt;=Lohntabelle24!AJ70),"1. Quartil",IF(AND(#REF!&lt;Lohntabelle24!AL70,#REF!&gt;=Lohntabelle24!AK70),"2. Quartil",IF(AND(#REF!&lt;Lohntabelle24!AM70,#REF!&gt;=Lohntabelle24!AL70),"3. Quartil",IF(AND(#REF!&gt;=Lohntabelle24!AM70,#REF!&lt;Lohntabelle24!AF70),"4. Quartil",IF(#REF!=Lohntabelle24!AF70,"höchsten Erfahrungswert","Lohnband prüfen")))))),"")</f>
        <v>#REF!</v>
      </c>
      <c r="AP70" t="e">
        <f t="shared" si="41"/>
        <v>#REF!</v>
      </c>
      <c r="AQ70" t="e">
        <f>IF(#REF!=Lohntabelle24!AH70,IF(AND(#REF!&lt;Lohntabelle24!AJ70,#REF!&gt;=Lohntabelle24!AI70),$AS$42,IF(AND(#REF!&lt;Lohntabelle24!AK70,#REF!&gt;=Lohntabelle24!AJ70),$AS$43,IF(AND(#REF!&lt;Lohntabelle24!AL70,#REF!&gt;=Lohntabelle24!AK70),$AS$44,IF(AND(#REF!&lt;Lohntabelle24!AM70,#REF!&gt;=Lohntabelle24!AL70),$AS$45,IF(AND(#REF!&gt;=Lohntabelle24!AM70,#REF!&lt;Lohntabelle24!AF70),$AS$46,IF(#REF!=Lohntabelle24!AF70,"höchster Erfahrungswert","Lohnband prüfen")))))),"")</f>
        <v>#REF!</v>
      </c>
      <c r="AR70" t="e">
        <f>IF(AQ70="","",IF(#REF!='Matrizen 23_24'!$A$3,"",VLOOKUP(#REF!,'Matrizen 23_24'!$A$4:$B$19,2,0)))</f>
        <v>#REF!</v>
      </c>
    </row>
    <row r="71" spans="1:46" ht="15" thickBot="1" x14ac:dyDescent="0.25">
      <c r="AP71" s="139" t="s">
        <v>186</v>
      </c>
      <c r="AQ71" s="294" t="s">
        <v>187</v>
      </c>
      <c r="AR71" s="141"/>
      <c r="AT71" s="13"/>
    </row>
    <row r="72" spans="1:46" ht="15.75" thickBot="1" x14ac:dyDescent="0.3">
      <c r="AN72" s="138"/>
      <c r="AO72" s="138"/>
      <c r="AP72" s="140" t="e">
        <f>IF(#REF!=Datensätze!O2,"",VLOOKUP(#REF!,Lohntabelle24!AH43:AP70,9,0))</f>
        <v>#REF!</v>
      </c>
      <c r="AQ72" s="140" t="e">
        <f>IF(#REF!=Datensätze!O2,"",CONCATENATE("A",VLOOKUP(#REF!,Lohntabelle24!AH43:AQ70,10,0)))</f>
        <v>#REF!</v>
      </c>
      <c r="AR72" s="138"/>
      <c r="AT72" s="137"/>
    </row>
  </sheetData>
  <mergeCells count="1">
    <mergeCell ref="AT4:AX4"/>
  </mergeCells>
  <conditionalFormatting sqref="C6:AF33">
    <cfRule type="cellIs" dxfId="7" priority="9" operator="lessThan">
      <formula>$AJ6</formula>
    </cfRule>
    <cfRule type="cellIs" dxfId="6" priority="10" operator="lessThan">
      <formula>$AK6</formula>
    </cfRule>
  </conditionalFormatting>
  <conditionalFormatting sqref="C6:AF33">
    <cfRule type="cellIs" dxfId="5" priority="11" operator="lessThan">
      <formula>$AL6</formula>
    </cfRule>
    <cfRule type="cellIs" dxfId="4" priority="12" operator="lessThan">
      <formula>$AM6</formula>
    </cfRule>
  </conditionalFormatting>
  <conditionalFormatting sqref="C43:AF70">
    <cfRule type="cellIs" dxfId="3" priority="1" operator="lessThan">
      <formula>$AJ43</formula>
    </cfRule>
    <cfRule type="cellIs" dxfId="2" priority="2" operator="lessThan">
      <formula>$AK43</formula>
    </cfRule>
  </conditionalFormatting>
  <conditionalFormatting sqref="C43:AF70">
    <cfRule type="cellIs" dxfId="1" priority="3" operator="lessThan">
      <formula>$AL43</formula>
    </cfRule>
    <cfRule type="cellIs" dxfId="0" priority="4" operator="lessThan">
      <formula>$AM43</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82"/>
  <sheetViews>
    <sheetView topLeftCell="B1" workbookViewId="0">
      <selection activeCell="M13" sqref="M13"/>
    </sheetView>
  </sheetViews>
  <sheetFormatPr baseColWidth="10" defaultRowHeight="14.25" x14ac:dyDescent="0.2"/>
  <cols>
    <col min="1" max="1" width="39.5" customWidth="1"/>
    <col min="6" max="6" width="0" hidden="1" customWidth="1"/>
  </cols>
  <sheetData>
    <row r="1" spans="1:14" ht="15" thickBot="1" x14ac:dyDescent="0.25">
      <c r="L1" s="483" t="s">
        <v>185</v>
      </c>
      <c r="M1" s="483"/>
      <c r="N1" s="483"/>
    </row>
    <row r="2" spans="1:14" ht="30.75" thickBot="1" x14ac:dyDescent="0.25">
      <c r="A2" s="13" t="s">
        <v>149</v>
      </c>
      <c r="C2" s="205" t="s">
        <v>166</v>
      </c>
      <c r="D2" s="206" t="s">
        <v>167</v>
      </c>
      <c r="E2" s="206" t="s">
        <v>168</v>
      </c>
      <c r="F2" s="207" t="s">
        <v>175</v>
      </c>
      <c r="G2" s="206" t="s">
        <v>174</v>
      </c>
      <c r="H2" s="208" t="s">
        <v>10</v>
      </c>
      <c r="I2" s="208" t="s">
        <v>118</v>
      </c>
      <c r="J2" s="209" t="s">
        <v>176</v>
      </c>
      <c r="L2" s="143" t="s">
        <v>181</v>
      </c>
      <c r="M2" s="144" t="s">
        <v>182</v>
      </c>
      <c r="N2" s="147" t="s">
        <v>184</v>
      </c>
    </row>
    <row r="3" spans="1:14" ht="15" thickBot="1" x14ac:dyDescent="0.25">
      <c r="A3" s="13" t="s">
        <v>79</v>
      </c>
      <c r="C3" s="214">
        <v>2023</v>
      </c>
      <c r="D3" s="125" t="s">
        <v>118</v>
      </c>
      <c r="E3" s="125" t="s">
        <v>169</v>
      </c>
      <c r="F3" s="85" t="str">
        <f>RIGHT(E3,1)</f>
        <v>0</v>
      </c>
      <c r="G3" s="125" t="str">
        <f t="shared" ref="G3:G34" si="0">CONCATENATE(D3,F3)</f>
        <v>A0</v>
      </c>
      <c r="H3" s="89">
        <v>0</v>
      </c>
      <c r="I3" s="89">
        <v>4.0599999999999996</v>
      </c>
      <c r="J3" s="90">
        <v>6.05</v>
      </c>
      <c r="K3" t="s">
        <v>118</v>
      </c>
      <c r="L3" s="145" t="e">
        <f>Lohntabelle24!AP72</f>
        <v>#REF!</v>
      </c>
      <c r="M3" s="213" t="e">
        <f>INDEX(G2:J82,MATCH(L3,G2:G82),MATCH(N3,'Matrizen 23_24'!G2:J2,0))/100</f>
        <v>#REF!</v>
      </c>
      <c r="N3" s="146" t="e">
        <f>IF(#REF!=Datensätze!Q2,"",IF(#REF!=Datensätze!Q3,Datensätze!Q6,#REF!))</f>
        <v>#REF!</v>
      </c>
    </row>
    <row r="4" spans="1:14" x14ac:dyDescent="0.2">
      <c r="A4" s="13" t="s">
        <v>150</v>
      </c>
      <c r="B4" s="13" t="s">
        <v>118</v>
      </c>
      <c r="C4" s="215">
        <v>2023</v>
      </c>
      <c r="D4" s="126" t="s">
        <v>118</v>
      </c>
      <c r="E4" s="126" t="s">
        <v>170</v>
      </c>
      <c r="F4" s="84" t="str">
        <f t="shared" ref="F4:F67" si="1">RIGHT(E4,1)</f>
        <v>1</v>
      </c>
      <c r="G4" s="126" t="str">
        <f t="shared" si="0"/>
        <v>A1</v>
      </c>
      <c r="H4" s="91">
        <v>0</v>
      </c>
      <c r="I4" s="91">
        <v>3.9</v>
      </c>
      <c r="J4" s="92">
        <v>5.81</v>
      </c>
      <c r="K4" t="s">
        <v>118</v>
      </c>
    </row>
    <row r="5" spans="1:14" x14ac:dyDescent="0.2">
      <c r="A5" s="13" t="s">
        <v>151</v>
      </c>
      <c r="B5" s="13" t="s">
        <v>10</v>
      </c>
      <c r="C5" s="215">
        <v>2023</v>
      </c>
      <c r="D5" s="126" t="s">
        <v>118</v>
      </c>
      <c r="E5" s="126" t="s">
        <v>171</v>
      </c>
      <c r="F5" s="84" t="str">
        <f t="shared" si="1"/>
        <v>2</v>
      </c>
      <c r="G5" s="126" t="str">
        <f t="shared" si="0"/>
        <v>A2</v>
      </c>
      <c r="H5" s="91">
        <v>0</v>
      </c>
      <c r="I5" s="91">
        <v>2.85</v>
      </c>
      <c r="J5" s="92">
        <v>4.25</v>
      </c>
      <c r="K5" t="s">
        <v>118</v>
      </c>
      <c r="L5" s="495" t="s">
        <v>188</v>
      </c>
      <c r="M5" s="495"/>
      <c r="N5" s="495"/>
    </row>
    <row r="6" spans="1:14" x14ac:dyDescent="0.2">
      <c r="A6" s="13" t="s">
        <v>152</v>
      </c>
      <c r="B6" s="13" t="s">
        <v>9</v>
      </c>
      <c r="C6" s="215">
        <v>2023</v>
      </c>
      <c r="D6" s="126" t="s">
        <v>118</v>
      </c>
      <c r="E6" s="126" t="s">
        <v>172</v>
      </c>
      <c r="F6" s="84" t="str">
        <f t="shared" si="1"/>
        <v>3</v>
      </c>
      <c r="G6" s="126" t="str">
        <f t="shared" si="0"/>
        <v>A3</v>
      </c>
      <c r="H6" s="91">
        <v>0</v>
      </c>
      <c r="I6" s="91">
        <v>1.5</v>
      </c>
      <c r="J6" s="92">
        <v>2.2399999999999998</v>
      </c>
      <c r="K6" t="s">
        <v>118</v>
      </c>
      <c r="L6" s="295" t="s">
        <v>181</v>
      </c>
      <c r="M6" s="295" t="s">
        <v>81</v>
      </c>
      <c r="N6" s="295" t="s">
        <v>189</v>
      </c>
    </row>
    <row r="7" spans="1:14" ht="15" thickBot="1" x14ac:dyDescent="0.25">
      <c r="A7" s="13" t="s">
        <v>153</v>
      </c>
      <c r="B7" s="13" t="s">
        <v>33</v>
      </c>
      <c r="C7" s="216">
        <v>2023</v>
      </c>
      <c r="D7" s="127" t="s">
        <v>118</v>
      </c>
      <c r="E7" s="127" t="s">
        <v>173</v>
      </c>
      <c r="F7" s="86" t="str">
        <f t="shared" si="1"/>
        <v>4</v>
      </c>
      <c r="G7" s="127" t="str">
        <f t="shared" si="0"/>
        <v>A4</v>
      </c>
      <c r="H7" s="93">
        <v>0</v>
      </c>
      <c r="I7" s="93">
        <v>1.2</v>
      </c>
      <c r="J7" s="94">
        <v>1.79</v>
      </c>
      <c r="K7" t="s">
        <v>118</v>
      </c>
      <c r="L7" s="295" t="e">
        <f>Lohntabelle24!AQ72</f>
        <v>#REF!</v>
      </c>
      <c r="M7" s="297" t="e">
        <f>INDEX(G2:J82,MATCH(L7,G2:G82),MATCH(N7,'Matrizen 23_24'!G2:J2,0))/100</f>
        <v>#REF!</v>
      </c>
      <c r="N7" s="296" t="e">
        <f>IF(#REF!=Datensätze!Q2,"",IF(#REF!=Datensätze!Q3,Datensätze!Q6,#REF!))</f>
        <v>#REF!</v>
      </c>
    </row>
    <row r="8" spans="1:14" x14ac:dyDescent="0.2">
      <c r="A8" s="13" t="s">
        <v>154</v>
      </c>
      <c r="B8" s="13" t="s">
        <v>13</v>
      </c>
      <c r="C8" s="217">
        <v>2023</v>
      </c>
      <c r="D8" s="128" t="s">
        <v>10</v>
      </c>
      <c r="E8" s="128" t="s">
        <v>169</v>
      </c>
      <c r="F8" s="85" t="str">
        <f t="shared" si="1"/>
        <v>0</v>
      </c>
      <c r="G8" s="128" t="str">
        <f t="shared" si="0"/>
        <v>B0</v>
      </c>
      <c r="H8" s="95">
        <v>0</v>
      </c>
      <c r="I8" s="95">
        <v>4.0599999999999996</v>
      </c>
      <c r="J8" s="96">
        <v>6.370000000000001</v>
      </c>
      <c r="K8" t="s">
        <v>10</v>
      </c>
    </row>
    <row r="9" spans="1:14" x14ac:dyDescent="0.2">
      <c r="A9" s="13" t="s">
        <v>155</v>
      </c>
      <c r="B9" s="13" t="s">
        <v>14</v>
      </c>
      <c r="C9" s="218">
        <v>2023</v>
      </c>
      <c r="D9" s="129" t="s">
        <v>10</v>
      </c>
      <c r="E9" s="129" t="s">
        <v>170</v>
      </c>
      <c r="F9" s="84" t="str">
        <f t="shared" si="1"/>
        <v>1</v>
      </c>
      <c r="G9" s="129" t="str">
        <f t="shared" si="0"/>
        <v>B1</v>
      </c>
      <c r="H9" s="97">
        <v>0</v>
      </c>
      <c r="I9" s="97">
        <v>3.9</v>
      </c>
      <c r="J9" s="98">
        <v>6.12</v>
      </c>
      <c r="K9" t="s">
        <v>10</v>
      </c>
    </row>
    <row r="10" spans="1:14" x14ac:dyDescent="0.2">
      <c r="A10" s="13" t="s">
        <v>156</v>
      </c>
      <c r="B10" s="13" t="s">
        <v>15</v>
      </c>
      <c r="C10" s="218">
        <v>2023</v>
      </c>
      <c r="D10" s="129" t="s">
        <v>10</v>
      </c>
      <c r="E10" s="129" t="s">
        <v>171</v>
      </c>
      <c r="F10" s="84" t="str">
        <f t="shared" si="1"/>
        <v>2</v>
      </c>
      <c r="G10" s="129" t="str">
        <f t="shared" si="0"/>
        <v>B2</v>
      </c>
      <c r="H10" s="97">
        <v>0</v>
      </c>
      <c r="I10" s="97">
        <v>2.85</v>
      </c>
      <c r="J10" s="98">
        <v>4.47</v>
      </c>
      <c r="K10" t="s">
        <v>10</v>
      </c>
    </row>
    <row r="11" spans="1:14" x14ac:dyDescent="0.2">
      <c r="A11" s="13" t="s">
        <v>157</v>
      </c>
      <c r="B11" s="13" t="s">
        <v>16</v>
      </c>
      <c r="C11" s="218">
        <v>2023</v>
      </c>
      <c r="D11" s="129" t="s">
        <v>10</v>
      </c>
      <c r="E11" s="129" t="s">
        <v>172</v>
      </c>
      <c r="F11" s="84" t="str">
        <f t="shared" si="1"/>
        <v>3</v>
      </c>
      <c r="G11" s="129" t="str">
        <f t="shared" si="0"/>
        <v>B3</v>
      </c>
      <c r="H11" s="97">
        <v>0</v>
      </c>
      <c r="I11" s="97">
        <v>1.5</v>
      </c>
      <c r="J11" s="98">
        <v>2.36</v>
      </c>
      <c r="K11" t="s">
        <v>10</v>
      </c>
    </row>
    <row r="12" spans="1:14" ht="15" thickBot="1" x14ac:dyDescent="0.25">
      <c r="A12" s="13" t="s">
        <v>158</v>
      </c>
      <c r="B12" s="13" t="s">
        <v>17</v>
      </c>
      <c r="C12" s="219">
        <v>2023</v>
      </c>
      <c r="D12" s="130" t="s">
        <v>10</v>
      </c>
      <c r="E12" s="130" t="s">
        <v>173</v>
      </c>
      <c r="F12" s="86" t="str">
        <f t="shared" si="1"/>
        <v>4</v>
      </c>
      <c r="G12" s="130" t="str">
        <f t="shared" si="0"/>
        <v>B4</v>
      </c>
      <c r="H12" s="99">
        <v>0</v>
      </c>
      <c r="I12" s="99">
        <v>1.2</v>
      </c>
      <c r="J12" s="100">
        <v>1.8800000000000001</v>
      </c>
      <c r="K12" t="s">
        <v>10</v>
      </c>
    </row>
    <row r="13" spans="1:14" x14ac:dyDescent="0.2">
      <c r="A13" s="13" t="s">
        <v>159</v>
      </c>
      <c r="B13" s="13" t="s">
        <v>18</v>
      </c>
      <c r="C13" s="220">
        <v>2023</v>
      </c>
      <c r="D13" s="131" t="s">
        <v>9</v>
      </c>
      <c r="E13" s="131" t="s">
        <v>169</v>
      </c>
      <c r="F13" s="85" t="str">
        <f t="shared" si="1"/>
        <v>0</v>
      </c>
      <c r="G13" s="131" t="str">
        <f t="shared" si="0"/>
        <v>C0</v>
      </c>
      <c r="H13" s="101">
        <v>0</v>
      </c>
      <c r="I13" s="101">
        <v>4.0599999999999996</v>
      </c>
      <c r="J13" s="102">
        <v>6.01</v>
      </c>
      <c r="K13" t="s">
        <v>9</v>
      </c>
    </row>
    <row r="14" spans="1:14" x14ac:dyDescent="0.2">
      <c r="A14" s="13" t="s">
        <v>160</v>
      </c>
      <c r="B14" s="13" t="s">
        <v>19</v>
      </c>
      <c r="C14" s="221">
        <v>2023</v>
      </c>
      <c r="D14" s="132" t="s">
        <v>9</v>
      </c>
      <c r="E14" s="132" t="s">
        <v>170</v>
      </c>
      <c r="F14" s="84" t="str">
        <f t="shared" si="1"/>
        <v>1</v>
      </c>
      <c r="G14" s="132" t="str">
        <f t="shared" si="0"/>
        <v>C1</v>
      </c>
      <c r="H14" s="103">
        <v>0</v>
      </c>
      <c r="I14" s="103">
        <v>3.9</v>
      </c>
      <c r="J14" s="104">
        <v>5.7700000000000005</v>
      </c>
      <c r="K14" t="s">
        <v>9</v>
      </c>
    </row>
    <row r="15" spans="1:14" x14ac:dyDescent="0.2">
      <c r="A15" s="13" t="s">
        <v>161</v>
      </c>
      <c r="B15" s="13" t="s">
        <v>20</v>
      </c>
      <c r="C15" s="221">
        <v>2023</v>
      </c>
      <c r="D15" s="132" t="s">
        <v>9</v>
      </c>
      <c r="E15" s="132" t="s">
        <v>171</v>
      </c>
      <c r="F15" s="84" t="str">
        <f t="shared" si="1"/>
        <v>2</v>
      </c>
      <c r="G15" s="132" t="str">
        <f t="shared" si="0"/>
        <v>C2</v>
      </c>
      <c r="H15" s="103">
        <v>0</v>
      </c>
      <c r="I15" s="103">
        <v>2.85</v>
      </c>
      <c r="J15" s="104">
        <v>4.22</v>
      </c>
      <c r="K15" t="s">
        <v>9</v>
      </c>
    </row>
    <row r="16" spans="1:14" x14ac:dyDescent="0.2">
      <c r="A16" s="13" t="s">
        <v>162</v>
      </c>
      <c r="B16" s="13" t="s">
        <v>21</v>
      </c>
      <c r="C16" s="221">
        <v>2023</v>
      </c>
      <c r="D16" s="132" t="s">
        <v>9</v>
      </c>
      <c r="E16" s="132" t="s">
        <v>172</v>
      </c>
      <c r="F16" s="84" t="str">
        <f t="shared" si="1"/>
        <v>3</v>
      </c>
      <c r="G16" s="132" t="str">
        <f t="shared" si="0"/>
        <v>C3</v>
      </c>
      <c r="H16" s="103">
        <v>0</v>
      </c>
      <c r="I16" s="103">
        <v>1.5</v>
      </c>
      <c r="J16" s="104">
        <v>2.2200000000000002</v>
      </c>
      <c r="K16" t="s">
        <v>9</v>
      </c>
    </row>
    <row r="17" spans="1:11" ht="15" thickBot="1" x14ac:dyDescent="0.25">
      <c r="A17" s="13" t="s">
        <v>163</v>
      </c>
      <c r="B17" s="13" t="s">
        <v>22</v>
      </c>
      <c r="C17" s="222">
        <v>2023</v>
      </c>
      <c r="D17" s="133" t="s">
        <v>9</v>
      </c>
      <c r="E17" s="133" t="s">
        <v>173</v>
      </c>
      <c r="F17" s="86" t="str">
        <f t="shared" si="1"/>
        <v>4</v>
      </c>
      <c r="G17" s="133" t="str">
        <f t="shared" si="0"/>
        <v>C4</v>
      </c>
      <c r="H17" s="105">
        <v>0</v>
      </c>
      <c r="I17" s="105">
        <v>1.2</v>
      </c>
      <c r="J17" s="106">
        <v>1.78</v>
      </c>
      <c r="K17" t="s">
        <v>9</v>
      </c>
    </row>
    <row r="18" spans="1:11" x14ac:dyDescent="0.2">
      <c r="A18" s="13" t="s">
        <v>164</v>
      </c>
      <c r="B18" s="13" t="s">
        <v>23</v>
      </c>
      <c r="C18" s="223">
        <v>2023</v>
      </c>
      <c r="D18" s="134" t="s">
        <v>33</v>
      </c>
      <c r="E18" s="134" t="s">
        <v>169</v>
      </c>
      <c r="F18" s="85" t="str">
        <f t="shared" si="1"/>
        <v>0</v>
      </c>
      <c r="G18" s="134" t="str">
        <f t="shared" si="0"/>
        <v>D0</v>
      </c>
      <c r="H18" s="107">
        <v>0</v>
      </c>
      <c r="I18" s="107">
        <v>4.0599999999999996</v>
      </c>
      <c r="J18" s="108">
        <v>5.6000000000000005</v>
      </c>
      <c r="K18" t="s">
        <v>33</v>
      </c>
    </row>
    <row r="19" spans="1:11" x14ac:dyDescent="0.2">
      <c r="A19" s="13" t="s">
        <v>165</v>
      </c>
      <c r="B19" s="13" t="s">
        <v>24</v>
      </c>
      <c r="C19" s="224">
        <v>2023</v>
      </c>
      <c r="D19" s="135" t="s">
        <v>33</v>
      </c>
      <c r="E19" s="135" t="s">
        <v>170</v>
      </c>
      <c r="F19" s="84" t="str">
        <f t="shared" si="1"/>
        <v>1</v>
      </c>
      <c r="G19" s="135" t="str">
        <f t="shared" si="0"/>
        <v>D1</v>
      </c>
      <c r="H19" s="109">
        <v>0</v>
      </c>
      <c r="I19" s="109">
        <v>3.9</v>
      </c>
      <c r="J19" s="110">
        <v>5.38</v>
      </c>
      <c r="K19" t="s">
        <v>33</v>
      </c>
    </row>
    <row r="20" spans="1:11" x14ac:dyDescent="0.2">
      <c r="C20" s="224">
        <v>2023</v>
      </c>
      <c r="D20" s="135" t="s">
        <v>33</v>
      </c>
      <c r="E20" s="135" t="s">
        <v>171</v>
      </c>
      <c r="F20" s="84" t="str">
        <f t="shared" si="1"/>
        <v>2</v>
      </c>
      <c r="G20" s="135" t="str">
        <f t="shared" si="0"/>
        <v>D2</v>
      </c>
      <c r="H20" s="109">
        <v>0</v>
      </c>
      <c r="I20" s="109">
        <v>2.85</v>
      </c>
      <c r="J20" s="110">
        <v>3.93</v>
      </c>
      <c r="K20" t="s">
        <v>33</v>
      </c>
    </row>
    <row r="21" spans="1:11" x14ac:dyDescent="0.2">
      <c r="C21" s="224">
        <v>2023</v>
      </c>
      <c r="D21" s="135" t="s">
        <v>33</v>
      </c>
      <c r="E21" s="135" t="s">
        <v>172</v>
      </c>
      <c r="F21" s="84" t="str">
        <f t="shared" si="1"/>
        <v>3</v>
      </c>
      <c r="G21" s="135" t="str">
        <f t="shared" si="0"/>
        <v>D3</v>
      </c>
      <c r="H21" s="109">
        <v>0</v>
      </c>
      <c r="I21" s="109">
        <v>1.5</v>
      </c>
      <c r="J21" s="110">
        <v>2.0699999999999998</v>
      </c>
      <c r="K21" t="s">
        <v>33</v>
      </c>
    </row>
    <row r="22" spans="1:11" ht="15" thickBot="1" x14ac:dyDescent="0.25">
      <c r="C22" s="225">
        <v>2023</v>
      </c>
      <c r="D22" s="136" t="s">
        <v>33</v>
      </c>
      <c r="E22" s="136" t="s">
        <v>173</v>
      </c>
      <c r="F22" s="86" t="str">
        <f t="shared" si="1"/>
        <v>4</v>
      </c>
      <c r="G22" s="136" t="str">
        <f t="shared" si="0"/>
        <v>D4</v>
      </c>
      <c r="H22" s="111">
        <v>0</v>
      </c>
      <c r="I22" s="111">
        <v>1.2</v>
      </c>
      <c r="J22" s="112">
        <v>1.66</v>
      </c>
      <c r="K22" t="s">
        <v>33</v>
      </c>
    </row>
    <row r="23" spans="1:11" x14ac:dyDescent="0.2">
      <c r="C23" s="226">
        <v>2023</v>
      </c>
      <c r="D23" s="148" t="s">
        <v>13</v>
      </c>
      <c r="E23" s="148" t="s">
        <v>169</v>
      </c>
      <c r="F23" s="85" t="str">
        <f t="shared" si="1"/>
        <v>0</v>
      </c>
      <c r="G23" s="148" t="str">
        <f t="shared" si="0"/>
        <v>E0</v>
      </c>
      <c r="H23" s="149">
        <v>0</v>
      </c>
      <c r="I23" s="149">
        <v>4.0599999999999996</v>
      </c>
      <c r="J23" s="150">
        <v>5.56</v>
      </c>
      <c r="K23" t="s">
        <v>13</v>
      </c>
    </row>
    <row r="24" spans="1:11" x14ac:dyDescent="0.2">
      <c r="C24" s="227">
        <v>2023</v>
      </c>
      <c r="D24" s="142" t="s">
        <v>13</v>
      </c>
      <c r="E24" s="142" t="s">
        <v>170</v>
      </c>
      <c r="F24" s="84" t="str">
        <f t="shared" si="1"/>
        <v>1</v>
      </c>
      <c r="G24" s="142" t="str">
        <f t="shared" si="0"/>
        <v>E1</v>
      </c>
      <c r="H24" s="113">
        <v>0</v>
      </c>
      <c r="I24" s="113">
        <v>3.9</v>
      </c>
      <c r="J24" s="151">
        <v>5.34</v>
      </c>
      <c r="K24" t="s">
        <v>13</v>
      </c>
    </row>
    <row r="25" spans="1:11" x14ac:dyDescent="0.2">
      <c r="C25" s="227">
        <v>2023</v>
      </c>
      <c r="D25" s="142" t="s">
        <v>13</v>
      </c>
      <c r="E25" s="142" t="s">
        <v>171</v>
      </c>
      <c r="F25" s="84" t="str">
        <f t="shared" si="1"/>
        <v>2</v>
      </c>
      <c r="G25" s="142" t="str">
        <f t="shared" si="0"/>
        <v>E2</v>
      </c>
      <c r="H25" s="113">
        <v>0</v>
      </c>
      <c r="I25" s="113">
        <v>2.85</v>
      </c>
      <c r="J25" s="151">
        <v>3.9</v>
      </c>
      <c r="K25" t="s">
        <v>13</v>
      </c>
    </row>
    <row r="26" spans="1:11" x14ac:dyDescent="0.2">
      <c r="C26" s="227">
        <v>2023</v>
      </c>
      <c r="D26" s="142" t="s">
        <v>13</v>
      </c>
      <c r="E26" s="142" t="s">
        <v>172</v>
      </c>
      <c r="F26" s="84" t="str">
        <f t="shared" si="1"/>
        <v>3</v>
      </c>
      <c r="G26" s="142" t="str">
        <f t="shared" si="0"/>
        <v>E3</v>
      </c>
      <c r="H26" s="113">
        <v>0</v>
      </c>
      <c r="I26" s="113">
        <v>1.5</v>
      </c>
      <c r="J26" s="151">
        <v>2.06</v>
      </c>
      <c r="K26" t="s">
        <v>13</v>
      </c>
    </row>
    <row r="27" spans="1:11" ht="15" thickBot="1" x14ac:dyDescent="0.25">
      <c r="C27" s="228">
        <v>2023</v>
      </c>
      <c r="D27" s="152" t="s">
        <v>13</v>
      </c>
      <c r="E27" s="152" t="s">
        <v>173</v>
      </c>
      <c r="F27" s="86" t="str">
        <f t="shared" si="1"/>
        <v>4</v>
      </c>
      <c r="G27" s="152" t="str">
        <f t="shared" si="0"/>
        <v>E4</v>
      </c>
      <c r="H27" s="153">
        <v>0</v>
      </c>
      <c r="I27" s="153">
        <v>1.2</v>
      </c>
      <c r="J27" s="154">
        <v>1.6400000000000001</v>
      </c>
      <c r="K27" t="s">
        <v>13</v>
      </c>
    </row>
    <row r="28" spans="1:11" x14ac:dyDescent="0.2">
      <c r="C28" s="229">
        <v>2023</v>
      </c>
      <c r="D28" s="230" t="s">
        <v>14</v>
      </c>
      <c r="E28" s="230" t="s">
        <v>169</v>
      </c>
      <c r="F28" s="85" t="str">
        <f t="shared" si="1"/>
        <v>0</v>
      </c>
      <c r="G28" s="155" t="str">
        <f t="shared" si="0"/>
        <v>F0</v>
      </c>
      <c r="H28" s="155">
        <v>0</v>
      </c>
      <c r="I28" s="155">
        <v>4.0599999999999996</v>
      </c>
      <c r="J28" s="156">
        <v>6.64</v>
      </c>
      <c r="K28" t="s">
        <v>14</v>
      </c>
    </row>
    <row r="29" spans="1:11" x14ac:dyDescent="0.2">
      <c r="C29" s="231">
        <v>2023</v>
      </c>
      <c r="D29" s="232" t="s">
        <v>14</v>
      </c>
      <c r="E29" s="232" t="s">
        <v>170</v>
      </c>
      <c r="F29" s="84" t="str">
        <f t="shared" si="1"/>
        <v>1</v>
      </c>
      <c r="G29" s="114" t="str">
        <f t="shared" si="0"/>
        <v>F1</v>
      </c>
      <c r="H29" s="114">
        <v>0</v>
      </c>
      <c r="I29" s="114">
        <v>3.9</v>
      </c>
      <c r="J29" s="157">
        <v>6.38</v>
      </c>
      <c r="K29" t="s">
        <v>14</v>
      </c>
    </row>
    <row r="30" spans="1:11" x14ac:dyDescent="0.2">
      <c r="C30" s="231">
        <v>2023</v>
      </c>
      <c r="D30" s="232" t="s">
        <v>14</v>
      </c>
      <c r="E30" s="232" t="s">
        <v>171</v>
      </c>
      <c r="F30" s="84" t="str">
        <f t="shared" si="1"/>
        <v>2</v>
      </c>
      <c r="G30" s="114" t="str">
        <f t="shared" si="0"/>
        <v>F2</v>
      </c>
      <c r="H30" s="114">
        <v>0</v>
      </c>
      <c r="I30" s="114">
        <v>2.85</v>
      </c>
      <c r="J30" s="157">
        <v>4.66</v>
      </c>
      <c r="K30" t="s">
        <v>14</v>
      </c>
    </row>
    <row r="31" spans="1:11" x14ac:dyDescent="0.2">
      <c r="C31" s="231">
        <v>2023</v>
      </c>
      <c r="D31" s="232" t="s">
        <v>14</v>
      </c>
      <c r="E31" s="232" t="s">
        <v>172</v>
      </c>
      <c r="F31" s="84" t="str">
        <f t="shared" si="1"/>
        <v>3</v>
      </c>
      <c r="G31" s="114" t="str">
        <f t="shared" si="0"/>
        <v>F3</v>
      </c>
      <c r="H31" s="114">
        <v>0</v>
      </c>
      <c r="I31" s="114">
        <v>1.5</v>
      </c>
      <c r="J31" s="157">
        <v>2.4500000000000002</v>
      </c>
      <c r="K31" t="s">
        <v>14</v>
      </c>
    </row>
    <row r="32" spans="1:11" ht="15" thickBot="1" x14ac:dyDescent="0.25">
      <c r="C32" s="233">
        <v>2023</v>
      </c>
      <c r="D32" s="234" t="s">
        <v>14</v>
      </c>
      <c r="E32" s="234" t="s">
        <v>173</v>
      </c>
      <c r="F32" s="86" t="str">
        <f t="shared" si="1"/>
        <v>4</v>
      </c>
      <c r="G32" s="158" t="str">
        <f t="shared" si="0"/>
        <v>F4</v>
      </c>
      <c r="H32" s="158">
        <v>0</v>
      </c>
      <c r="I32" s="158">
        <v>1.2</v>
      </c>
      <c r="J32" s="159">
        <v>1.96</v>
      </c>
      <c r="K32" t="s">
        <v>14</v>
      </c>
    </row>
    <row r="33" spans="3:11" x14ac:dyDescent="0.2">
      <c r="C33" s="235">
        <v>2023</v>
      </c>
      <c r="D33" s="236" t="s">
        <v>15</v>
      </c>
      <c r="E33" s="236" t="s">
        <v>169</v>
      </c>
      <c r="F33" s="85" t="str">
        <f t="shared" si="1"/>
        <v>0</v>
      </c>
      <c r="G33" s="160" t="str">
        <f t="shared" si="0"/>
        <v>G0</v>
      </c>
      <c r="H33" s="160">
        <v>0</v>
      </c>
      <c r="I33" s="160">
        <v>4.0599999999999996</v>
      </c>
      <c r="J33" s="161">
        <v>8.1199999999999992</v>
      </c>
      <c r="K33" t="s">
        <v>15</v>
      </c>
    </row>
    <row r="34" spans="3:11" x14ac:dyDescent="0.2">
      <c r="C34" s="237">
        <v>2023</v>
      </c>
      <c r="D34" s="238" t="s">
        <v>15</v>
      </c>
      <c r="E34" s="238" t="s">
        <v>170</v>
      </c>
      <c r="F34" s="84" t="str">
        <f t="shared" si="1"/>
        <v>1</v>
      </c>
      <c r="G34" s="115" t="str">
        <f t="shared" si="0"/>
        <v>G1</v>
      </c>
      <c r="H34" s="115">
        <v>0</v>
      </c>
      <c r="I34" s="115">
        <v>3.9</v>
      </c>
      <c r="J34" s="162">
        <v>7.8</v>
      </c>
      <c r="K34" t="s">
        <v>15</v>
      </c>
    </row>
    <row r="35" spans="3:11" x14ac:dyDescent="0.2">
      <c r="C35" s="237">
        <v>2023</v>
      </c>
      <c r="D35" s="238" t="s">
        <v>15</v>
      </c>
      <c r="E35" s="238" t="s">
        <v>171</v>
      </c>
      <c r="F35" s="84" t="str">
        <f t="shared" si="1"/>
        <v>2</v>
      </c>
      <c r="G35" s="115" t="str">
        <f t="shared" ref="G35:G66" si="2">CONCATENATE(D35,F35)</f>
        <v>G2</v>
      </c>
      <c r="H35" s="115">
        <v>0</v>
      </c>
      <c r="I35" s="115">
        <v>2.85</v>
      </c>
      <c r="J35" s="162">
        <v>5.7</v>
      </c>
      <c r="K35" t="s">
        <v>15</v>
      </c>
    </row>
    <row r="36" spans="3:11" x14ac:dyDescent="0.2">
      <c r="C36" s="237">
        <v>2023</v>
      </c>
      <c r="D36" s="238" t="s">
        <v>15</v>
      </c>
      <c r="E36" s="238" t="s">
        <v>172</v>
      </c>
      <c r="F36" s="84" t="str">
        <f t="shared" si="1"/>
        <v>3</v>
      </c>
      <c r="G36" s="115" t="str">
        <f t="shared" si="2"/>
        <v>G3</v>
      </c>
      <c r="H36" s="115">
        <v>0</v>
      </c>
      <c r="I36" s="115">
        <v>1.5</v>
      </c>
      <c r="J36" s="162">
        <v>3</v>
      </c>
      <c r="K36" t="s">
        <v>15</v>
      </c>
    </row>
    <row r="37" spans="3:11" ht="15" thickBot="1" x14ac:dyDescent="0.25">
      <c r="C37" s="239">
        <v>2023</v>
      </c>
      <c r="D37" s="240" t="s">
        <v>15</v>
      </c>
      <c r="E37" s="240" t="s">
        <v>173</v>
      </c>
      <c r="F37" s="86" t="str">
        <f t="shared" si="1"/>
        <v>4</v>
      </c>
      <c r="G37" s="163" t="str">
        <f t="shared" si="2"/>
        <v>G4</v>
      </c>
      <c r="H37" s="163">
        <v>0</v>
      </c>
      <c r="I37" s="163">
        <v>1.2</v>
      </c>
      <c r="J37" s="164">
        <v>2.4</v>
      </c>
      <c r="K37" t="s">
        <v>15</v>
      </c>
    </row>
    <row r="38" spans="3:11" x14ac:dyDescent="0.2">
      <c r="C38" s="241">
        <v>2023</v>
      </c>
      <c r="D38" s="242" t="s">
        <v>16</v>
      </c>
      <c r="E38" s="242" t="s">
        <v>169</v>
      </c>
      <c r="F38" s="85" t="str">
        <f t="shared" si="1"/>
        <v>0</v>
      </c>
      <c r="G38" s="165" t="str">
        <f t="shared" si="2"/>
        <v>H0</v>
      </c>
      <c r="H38" s="165">
        <v>0</v>
      </c>
      <c r="I38" s="165">
        <v>4.0599999999999996</v>
      </c>
      <c r="J38" s="166">
        <v>5.64</v>
      </c>
      <c r="K38" t="s">
        <v>16</v>
      </c>
    </row>
    <row r="39" spans="3:11" x14ac:dyDescent="0.2">
      <c r="C39" s="243">
        <v>2023</v>
      </c>
      <c r="D39" s="244" t="s">
        <v>16</v>
      </c>
      <c r="E39" s="244" t="s">
        <v>170</v>
      </c>
      <c r="F39" s="84" t="str">
        <f t="shared" si="1"/>
        <v>1</v>
      </c>
      <c r="G39" s="116" t="str">
        <f t="shared" si="2"/>
        <v>H1</v>
      </c>
      <c r="H39" s="116">
        <v>0</v>
      </c>
      <c r="I39" s="116">
        <v>3.9</v>
      </c>
      <c r="J39" s="167">
        <v>5.42</v>
      </c>
      <c r="K39" t="s">
        <v>16</v>
      </c>
    </row>
    <row r="40" spans="3:11" x14ac:dyDescent="0.2">
      <c r="C40" s="243">
        <v>2023</v>
      </c>
      <c r="D40" s="244" t="s">
        <v>16</v>
      </c>
      <c r="E40" s="244" t="s">
        <v>171</v>
      </c>
      <c r="F40" s="84" t="str">
        <f t="shared" si="1"/>
        <v>2</v>
      </c>
      <c r="G40" s="116" t="str">
        <f t="shared" si="2"/>
        <v>H2</v>
      </c>
      <c r="H40" s="116">
        <v>0</v>
      </c>
      <c r="I40" s="116">
        <v>2.85</v>
      </c>
      <c r="J40" s="167">
        <v>3.9600000000000004</v>
      </c>
      <c r="K40" t="s">
        <v>16</v>
      </c>
    </row>
    <row r="41" spans="3:11" x14ac:dyDescent="0.2">
      <c r="C41" s="243">
        <v>2023</v>
      </c>
      <c r="D41" s="244" t="s">
        <v>16</v>
      </c>
      <c r="E41" s="244" t="s">
        <v>172</v>
      </c>
      <c r="F41" s="84" t="str">
        <f t="shared" si="1"/>
        <v>3</v>
      </c>
      <c r="G41" s="116" t="str">
        <f t="shared" si="2"/>
        <v>H3</v>
      </c>
      <c r="H41" s="116">
        <v>0</v>
      </c>
      <c r="I41" s="116">
        <v>1.5</v>
      </c>
      <c r="J41" s="167">
        <v>2.09</v>
      </c>
      <c r="K41" t="s">
        <v>16</v>
      </c>
    </row>
    <row r="42" spans="3:11" ht="15" thickBot="1" x14ac:dyDescent="0.25">
      <c r="C42" s="245">
        <v>2023</v>
      </c>
      <c r="D42" s="246" t="s">
        <v>16</v>
      </c>
      <c r="E42" s="246" t="s">
        <v>173</v>
      </c>
      <c r="F42" s="86" t="str">
        <f t="shared" si="1"/>
        <v>4</v>
      </c>
      <c r="G42" s="168" t="str">
        <f t="shared" si="2"/>
        <v>H4</v>
      </c>
      <c r="H42" s="168">
        <v>0</v>
      </c>
      <c r="I42" s="168">
        <v>1.2</v>
      </c>
      <c r="J42" s="169">
        <v>1.67</v>
      </c>
      <c r="K42" t="s">
        <v>16</v>
      </c>
    </row>
    <row r="43" spans="3:11" x14ac:dyDescent="0.2">
      <c r="C43" s="247">
        <v>2023</v>
      </c>
      <c r="D43" s="248" t="s">
        <v>17</v>
      </c>
      <c r="E43" s="248" t="s">
        <v>169</v>
      </c>
      <c r="F43" s="85" t="str">
        <f t="shared" si="1"/>
        <v>0</v>
      </c>
      <c r="G43" s="170" t="str">
        <f t="shared" si="2"/>
        <v>I0</v>
      </c>
      <c r="H43" s="170">
        <v>0</v>
      </c>
      <c r="I43" s="170">
        <v>4.0599999999999996</v>
      </c>
      <c r="J43" s="171">
        <v>7.6700000000000008</v>
      </c>
      <c r="K43" t="s">
        <v>17</v>
      </c>
    </row>
    <row r="44" spans="3:11" x14ac:dyDescent="0.2">
      <c r="C44" s="249">
        <v>2023</v>
      </c>
      <c r="D44" s="250" t="s">
        <v>17</v>
      </c>
      <c r="E44" s="250" t="s">
        <v>170</v>
      </c>
      <c r="F44" s="84" t="str">
        <f t="shared" si="1"/>
        <v>1</v>
      </c>
      <c r="G44" s="117" t="str">
        <f t="shared" si="2"/>
        <v>I1</v>
      </c>
      <c r="H44" s="117">
        <v>0</v>
      </c>
      <c r="I44" s="117">
        <v>3.9</v>
      </c>
      <c r="J44" s="172">
        <v>7.37</v>
      </c>
      <c r="K44" t="s">
        <v>17</v>
      </c>
    </row>
    <row r="45" spans="3:11" x14ac:dyDescent="0.2">
      <c r="C45" s="249">
        <v>2023</v>
      </c>
      <c r="D45" s="250" t="s">
        <v>17</v>
      </c>
      <c r="E45" s="250" t="s">
        <v>171</v>
      </c>
      <c r="F45" s="84" t="str">
        <f t="shared" si="1"/>
        <v>2</v>
      </c>
      <c r="G45" s="117" t="str">
        <f t="shared" si="2"/>
        <v>I2</v>
      </c>
      <c r="H45" s="117">
        <v>0</v>
      </c>
      <c r="I45" s="117">
        <v>2.85</v>
      </c>
      <c r="J45" s="172">
        <v>5.3900000000000006</v>
      </c>
      <c r="K45" t="s">
        <v>17</v>
      </c>
    </row>
    <row r="46" spans="3:11" x14ac:dyDescent="0.2">
      <c r="C46" s="249">
        <v>2023</v>
      </c>
      <c r="D46" s="250" t="s">
        <v>17</v>
      </c>
      <c r="E46" s="250" t="s">
        <v>172</v>
      </c>
      <c r="F46" s="84" t="str">
        <f t="shared" si="1"/>
        <v>3</v>
      </c>
      <c r="G46" s="117" t="str">
        <f t="shared" si="2"/>
        <v>I3</v>
      </c>
      <c r="H46" s="117">
        <v>0</v>
      </c>
      <c r="I46" s="117">
        <v>1.5</v>
      </c>
      <c r="J46" s="172">
        <v>2.8400000000000003</v>
      </c>
      <c r="K46" t="s">
        <v>17</v>
      </c>
    </row>
    <row r="47" spans="3:11" ht="15" thickBot="1" x14ac:dyDescent="0.25">
      <c r="C47" s="251">
        <v>2023</v>
      </c>
      <c r="D47" s="252" t="s">
        <v>17</v>
      </c>
      <c r="E47" s="252" t="s">
        <v>173</v>
      </c>
      <c r="F47" s="86" t="str">
        <f t="shared" si="1"/>
        <v>4</v>
      </c>
      <c r="G47" s="173" t="str">
        <f t="shared" si="2"/>
        <v>I4</v>
      </c>
      <c r="H47" s="173">
        <v>0</v>
      </c>
      <c r="I47" s="173">
        <v>1.2</v>
      </c>
      <c r="J47" s="174">
        <v>2.27</v>
      </c>
      <c r="K47" t="s">
        <v>17</v>
      </c>
    </row>
    <row r="48" spans="3:11" x14ac:dyDescent="0.2">
      <c r="C48" s="253">
        <v>2023</v>
      </c>
      <c r="D48" s="254" t="s">
        <v>18</v>
      </c>
      <c r="E48" s="254" t="s">
        <v>169</v>
      </c>
      <c r="F48" s="85" t="str">
        <f t="shared" si="1"/>
        <v>0</v>
      </c>
      <c r="G48" s="175" t="str">
        <f t="shared" si="2"/>
        <v>J0</v>
      </c>
      <c r="H48" s="175">
        <v>0</v>
      </c>
      <c r="I48" s="175">
        <v>4.0599999999999996</v>
      </c>
      <c r="J48" s="176">
        <v>8.1199999999999992</v>
      </c>
      <c r="K48" t="s">
        <v>18</v>
      </c>
    </row>
    <row r="49" spans="3:11" x14ac:dyDescent="0.2">
      <c r="C49" s="255">
        <v>2023</v>
      </c>
      <c r="D49" s="256" t="s">
        <v>18</v>
      </c>
      <c r="E49" s="256" t="s">
        <v>170</v>
      </c>
      <c r="F49" s="84" t="str">
        <f t="shared" si="1"/>
        <v>1</v>
      </c>
      <c r="G49" s="118" t="str">
        <f t="shared" si="2"/>
        <v>J1</v>
      </c>
      <c r="H49" s="118">
        <v>0</v>
      </c>
      <c r="I49" s="118">
        <v>3.9</v>
      </c>
      <c r="J49" s="177">
        <v>7.8</v>
      </c>
      <c r="K49" t="s">
        <v>18</v>
      </c>
    </row>
    <row r="50" spans="3:11" x14ac:dyDescent="0.2">
      <c r="C50" s="255">
        <v>2023</v>
      </c>
      <c r="D50" s="256" t="s">
        <v>18</v>
      </c>
      <c r="E50" s="256" t="s">
        <v>171</v>
      </c>
      <c r="F50" s="84" t="str">
        <f t="shared" si="1"/>
        <v>2</v>
      </c>
      <c r="G50" s="118" t="str">
        <f t="shared" si="2"/>
        <v>J2</v>
      </c>
      <c r="H50" s="118">
        <v>0</v>
      </c>
      <c r="I50" s="118">
        <v>2.85</v>
      </c>
      <c r="J50" s="177">
        <v>5.7</v>
      </c>
      <c r="K50" t="s">
        <v>18</v>
      </c>
    </row>
    <row r="51" spans="3:11" x14ac:dyDescent="0.2">
      <c r="C51" s="255">
        <v>2023</v>
      </c>
      <c r="D51" s="256" t="s">
        <v>18</v>
      </c>
      <c r="E51" s="256" t="s">
        <v>172</v>
      </c>
      <c r="F51" s="84" t="str">
        <f t="shared" si="1"/>
        <v>3</v>
      </c>
      <c r="G51" s="118" t="str">
        <f t="shared" si="2"/>
        <v>J3</v>
      </c>
      <c r="H51" s="118">
        <v>0</v>
      </c>
      <c r="I51" s="118">
        <v>1.5</v>
      </c>
      <c r="J51" s="177">
        <v>3</v>
      </c>
      <c r="K51" t="s">
        <v>18</v>
      </c>
    </row>
    <row r="52" spans="3:11" ht="15" thickBot="1" x14ac:dyDescent="0.25">
      <c r="C52" s="257">
        <v>2023</v>
      </c>
      <c r="D52" s="258" t="s">
        <v>18</v>
      </c>
      <c r="E52" s="258" t="s">
        <v>173</v>
      </c>
      <c r="F52" s="86" t="str">
        <f t="shared" si="1"/>
        <v>4</v>
      </c>
      <c r="G52" s="178" t="str">
        <f t="shared" si="2"/>
        <v>J4</v>
      </c>
      <c r="H52" s="178">
        <v>0</v>
      </c>
      <c r="I52" s="178">
        <v>1.2</v>
      </c>
      <c r="J52" s="179">
        <v>2.4</v>
      </c>
      <c r="K52" t="s">
        <v>18</v>
      </c>
    </row>
    <row r="53" spans="3:11" x14ac:dyDescent="0.2">
      <c r="C53" s="259">
        <v>2023</v>
      </c>
      <c r="D53" s="260" t="s">
        <v>19</v>
      </c>
      <c r="E53" s="260" t="s">
        <v>169</v>
      </c>
      <c r="F53" s="85" t="str">
        <f t="shared" si="1"/>
        <v>0</v>
      </c>
      <c r="G53" s="180" t="str">
        <f t="shared" si="2"/>
        <v>K0</v>
      </c>
      <c r="H53" s="180">
        <v>0</v>
      </c>
      <c r="I53" s="180">
        <v>4.0599999999999996</v>
      </c>
      <c r="J53" s="181">
        <v>8.1199999999999992</v>
      </c>
      <c r="K53" t="s">
        <v>19</v>
      </c>
    </row>
    <row r="54" spans="3:11" x14ac:dyDescent="0.2">
      <c r="C54" s="261">
        <v>2023</v>
      </c>
      <c r="D54" s="262" t="s">
        <v>19</v>
      </c>
      <c r="E54" s="262" t="s">
        <v>170</v>
      </c>
      <c r="F54" s="84" t="str">
        <f t="shared" si="1"/>
        <v>1</v>
      </c>
      <c r="G54" s="119" t="str">
        <f t="shared" si="2"/>
        <v>K1</v>
      </c>
      <c r="H54" s="119">
        <v>0</v>
      </c>
      <c r="I54" s="119">
        <v>3.9</v>
      </c>
      <c r="J54" s="182">
        <v>7.8</v>
      </c>
      <c r="K54" t="s">
        <v>19</v>
      </c>
    </row>
    <row r="55" spans="3:11" x14ac:dyDescent="0.2">
      <c r="C55" s="261">
        <v>2023</v>
      </c>
      <c r="D55" s="262" t="s">
        <v>19</v>
      </c>
      <c r="E55" s="262" t="s">
        <v>171</v>
      </c>
      <c r="F55" s="84" t="str">
        <f t="shared" si="1"/>
        <v>2</v>
      </c>
      <c r="G55" s="119" t="str">
        <f t="shared" si="2"/>
        <v>K2</v>
      </c>
      <c r="H55" s="119">
        <v>0</v>
      </c>
      <c r="I55" s="119">
        <v>2.85</v>
      </c>
      <c r="J55" s="182">
        <v>5.7</v>
      </c>
      <c r="K55" t="s">
        <v>19</v>
      </c>
    </row>
    <row r="56" spans="3:11" x14ac:dyDescent="0.2">
      <c r="C56" s="261">
        <v>2023</v>
      </c>
      <c r="D56" s="262" t="s">
        <v>19</v>
      </c>
      <c r="E56" s="262" t="s">
        <v>172</v>
      </c>
      <c r="F56" s="84" t="str">
        <f t="shared" si="1"/>
        <v>3</v>
      </c>
      <c r="G56" s="119" t="str">
        <f t="shared" si="2"/>
        <v>K3</v>
      </c>
      <c r="H56" s="119">
        <v>0</v>
      </c>
      <c r="I56" s="119">
        <v>1.5</v>
      </c>
      <c r="J56" s="182">
        <v>3</v>
      </c>
      <c r="K56" t="s">
        <v>19</v>
      </c>
    </row>
    <row r="57" spans="3:11" ht="15" thickBot="1" x14ac:dyDescent="0.25">
      <c r="C57" s="263">
        <v>2023</v>
      </c>
      <c r="D57" s="264" t="s">
        <v>19</v>
      </c>
      <c r="E57" s="264" t="s">
        <v>173</v>
      </c>
      <c r="F57" s="86" t="str">
        <f t="shared" si="1"/>
        <v>4</v>
      </c>
      <c r="G57" s="183" t="str">
        <f t="shared" si="2"/>
        <v>K4</v>
      </c>
      <c r="H57" s="183">
        <v>0</v>
      </c>
      <c r="I57" s="183">
        <v>1.2</v>
      </c>
      <c r="J57" s="184">
        <v>1.2</v>
      </c>
      <c r="K57" t="s">
        <v>19</v>
      </c>
    </row>
    <row r="58" spans="3:11" x14ac:dyDescent="0.2">
      <c r="C58" s="265">
        <v>2023</v>
      </c>
      <c r="D58" s="266" t="s">
        <v>20</v>
      </c>
      <c r="E58" s="266" t="s">
        <v>169</v>
      </c>
      <c r="F58" s="85" t="str">
        <f t="shared" si="1"/>
        <v>0</v>
      </c>
      <c r="G58" s="185" t="str">
        <f t="shared" si="2"/>
        <v>L0</v>
      </c>
      <c r="H58" s="185">
        <v>0</v>
      </c>
      <c r="I58" s="185">
        <v>4.0599999999999996</v>
      </c>
      <c r="J58" s="186">
        <v>4.47</v>
      </c>
      <c r="K58" t="s">
        <v>20</v>
      </c>
    </row>
    <row r="59" spans="3:11" x14ac:dyDescent="0.2">
      <c r="C59" s="267">
        <v>2023</v>
      </c>
      <c r="D59" s="268" t="s">
        <v>20</v>
      </c>
      <c r="E59" s="268" t="s">
        <v>170</v>
      </c>
      <c r="F59" s="84" t="str">
        <f t="shared" si="1"/>
        <v>1</v>
      </c>
      <c r="G59" s="120" t="str">
        <f t="shared" si="2"/>
        <v>L1</v>
      </c>
      <c r="H59" s="120">
        <v>0</v>
      </c>
      <c r="I59" s="120">
        <v>3.9</v>
      </c>
      <c r="J59" s="187">
        <v>4.29</v>
      </c>
      <c r="K59" t="s">
        <v>20</v>
      </c>
    </row>
    <row r="60" spans="3:11" x14ac:dyDescent="0.2">
      <c r="C60" s="267">
        <v>2023</v>
      </c>
      <c r="D60" s="268" t="s">
        <v>20</v>
      </c>
      <c r="E60" s="268" t="s">
        <v>171</v>
      </c>
      <c r="F60" s="84" t="str">
        <f t="shared" si="1"/>
        <v>2</v>
      </c>
      <c r="G60" s="120" t="str">
        <f t="shared" si="2"/>
        <v>L2</v>
      </c>
      <c r="H60" s="120">
        <v>0</v>
      </c>
      <c r="I60" s="120">
        <v>2.85</v>
      </c>
      <c r="J60" s="187">
        <v>3.1399999999999997</v>
      </c>
      <c r="K60" t="s">
        <v>20</v>
      </c>
    </row>
    <row r="61" spans="3:11" x14ac:dyDescent="0.2">
      <c r="C61" s="267">
        <v>2023</v>
      </c>
      <c r="D61" s="268" t="s">
        <v>20</v>
      </c>
      <c r="E61" s="268" t="s">
        <v>172</v>
      </c>
      <c r="F61" s="84" t="str">
        <f t="shared" si="1"/>
        <v>3</v>
      </c>
      <c r="G61" s="120" t="str">
        <f t="shared" si="2"/>
        <v>L3</v>
      </c>
      <c r="H61" s="120">
        <v>0</v>
      </c>
      <c r="I61" s="120">
        <v>1.5</v>
      </c>
      <c r="J61" s="187">
        <v>1.6500000000000001</v>
      </c>
      <c r="K61" t="s">
        <v>20</v>
      </c>
    </row>
    <row r="62" spans="3:11" ht="15" thickBot="1" x14ac:dyDescent="0.25">
      <c r="C62" s="269">
        <v>2023</v>
      </c>
      <c r="D62" s="270" t="s">
        <v>20</v>
      </c>
      <c r="E62" s="270" t="s">
        <v>173</v>
      </c>
      <c r="F62" s="86" t="str">
        <f t="shared" si="1"/>
        <v>4</v>
      </c>
      <c r="G62" s="188" t="str">
        <f t="shared" si="2"/>
        <v>L4</v>
      </c>
      <c r="H62" s="188">
        <v>0</v>
      </c>
      <c r="I62" s="188">
        <v>1.2</v>
      </c>
      <c r="J62" s="189">
        <v>1.32</v>
      </c>
      <c r="K62" t="s">
        <v>20</v>
      </c>
    </row>
    <row r="63" spans="3:11" x14ac:dyDescent="0.2">
      <c r="C63" s="271">
        <v>2023</v>
      </c>
      <c r="D63" s="272" t="s">
        <v>21</v>
      </c>
      <c r="E63" s="272" t="s">
        <v>169</v>
      </c>
      <c r="F63" s="85" t="str">
        <f t="shared" si="1"/>
        <v>0</v>
      </c>
      <c r="G63" s="190" t="str">
        <f t="shared" si="2"/>
        <v>M0</v>
      </c>
      <c r="H63" s="190">
        <v>0</v>
      </c>
      <c r="I63" s="190">
        <v>4.0599999999999996</v>
      </c>
      <c r="J63" s="191">
        <v>8.1199999999999992</v>
      </c>
      <c r="K63" t="s">
        <v>21</v>
      </c>
    </row>
    <row r="64" spans="3:11" x14ac:dyDescent="0.2">
      <c r="C64" s="273">
        <v>2023</v>
      </c>
      <c r="D64" s="274" t="s">
        <v>21</v>
      </c>
      <c r="E64" s="274" t="s">
        <v>170</v>
      </c>
      <c r="F64" s="84" t="str">
        <f t="shared" si="1"/>
        <v>1</v>
      </c>
      <c r="G64" s="121" t="str">
        <f t="shared" si="2"/>
        <v>M1</v>
      </c>
      <c r="H64" s="121">
        <v>0</v>
      </c>
      <c r="I64" s="121">
        <v>3.9</v>
      </c>
      <c r="J64" s="192">
        <v>7.8</v>
      </c>
      <c r="K64" t="s">
        <v>21</v>
      </c>
    </row>
    <row r="65" spans="3:11" x14ac:dyDescent="0.2">
      <c r="C65" s="273">
        <v>2023</v>
      </c>
      <c r="D65" s="274" t="s">
        <v>21</v>
      </c>
      <c r="E65" s="274" t="s">
        <v>171</v>
      </c>
      <c r="F65" s="84" t="str">
        <f t="shared" si="1"/>
        <v>2</v>
      </c>
      <c r="G65" s="121" t="str">
        <f t="shared" si="2"/>
        <v>M2</v>
      </c>
      <c r="H65" s="121">
        <v>0</v>
      </c>
      <c r="I65" s="121">
        <v>2.85</v>
      </c>
      <c r="J65" s="192">
        <v>5.7</v>
      </c>
      <c r="K65" t="s">
        <v>21</v>
      </c>
    </row>
    <row r="66" spans="3:11" x14ac:dyDescent="0.2">
      <c r="C66" s="273">
        <v>2023</v>
      </c>
      <c r="D66" s="274" t="s">
        <v>21</v>
      </c>
      <c r="E66" s="274" t="s">
        <v>172</v>
      </c>
      <c r="F66" s="84" t="str">
        <f t="shared" si="1"/>
        <v>3</v>
      </c>
      <c r="G66" s="121" t="str">
        <f t="shared" si="2"/>
        <v>M3</v>
      </c>
      <c r="H66" s="121">
        <v>0</v>
      </c>
      <c r="I66" s="121">
        <v>1.5</v>
      </c>
      <c r="J66" s="192">
        <v>3</v>
      </c>
      <c r="K66" t="s">
        <v>21</v>
      </c>
    </row>
    <row r="67" spans="3:11" ht="15" thickBot="1" x14ac:dyDescent="0.25">
      <c r="C67" s="275">
        <v>2023</v>
      </c>
      <c r="D67" s="276" t="s">
        <v>21</v>
      </c>
      <c r="E67" s="276" t="s">
        <v>173</v>
      </c>
      <c r="F67" s="86" t="str">
        <f t="shared" si="1"/>
        <v>4</v>
      </c>
      <c r="G67" s="193" t="str">
        <f t="shared" ref="G67:G82" si="3">CONCATENATE(D67,F67)</f>
        <v>M4</v>
      </c>
      <c r="H67" s="193">
        <v>0</v>
      </c>
      <c r="I67" s="193">
        <v>1.2</v>
      </c>
      <c r="J67" s="194">
        <v>2.4</v>
      </c>
      <c r="K67" t="s">
        <v>21</v>
      </c>
    </row>
    <row r="68" spans="3:11" x14ac:dyDescent="0.2">
      <c r="C68" s="277">
        <v>2023</v>
      </c>
      <c r="D68" s="278" t="s">
        <v>22</v>
      </c>
      <c r="E68" s="278" t="s">
        <v>169</v>
      </c>
      <c r="F68" s="85" t="str">
        <f t="shared" ref="F68:F82" si="4">RIGHT(E68,1)</f>
        <v>0</v>
      </c>
      <c r="G68" s="195" t="str">
        <f t="shared" si="3"/>
        <v>N0</v>
      </c>
      <c r="H68" s="195">
        <v>0</v>
      </c>
      <c r="I68" s="195">
        <v>4.0599999999999996</v>
      </c>
      <c r="J68" s="196">
        <v>5.48</v>
      </c>
      <c r="K68" t="s">
        <v>22</v>
      </c>
    </row>
    <row r="69" spans="3:11" x14ac:dyDescent="0.2">
      <c r="C69" s="279">
        <v>2023</v>
      </c>
      <c r="D69" s="280" t="s">
        <v>22</v>
      </c>
      <c r="E69" s="280" t="s">
        <v>170</v>
      </c>
      <c r="F69" s="84" t="str">
        <f t="shared" si="4"/>
        <v>1</v>
      </c>
      <c r="G69" s="122" t="str">
        <f t="shared" si="3"/>
        <v>N1</v>
      </c>
      <c r="H69" s="122">
        <v>0</v>
      </c>
      <c r="I69" s="122">
        <v>3.9</v>
      </c>
      <c r="J69" s="197">
        <v>5.27</v>
      </c>
      <c r="K69" t="s">
        <v>22</v>
      </c>
    </row>
    <row r="70" spans="3:11" x14ac:dyDescent="0.2">
      <c r="C70" s="279">
        <v>2023</v>
      </c>
      <c r="D70" s="280" t="s">
        <v>22</v>
      </c>
      <c r="E70" s="280" t="s">
        <v>171</v>
      </c>
      <c r="F70" s="84" t="str">
        <f t="shared" si="4"/>
        <v>2</v>
      </c>
      <c r="G70" s="122" t="str">
        <f t="shared" si="3"/>
        <v>N2</v>
      </c>
      <c r="H70" s="122">
        <v>0</v>
      </c>
      <c r="I70" s="122">
        <v>2.85</v>
      </c>
      <c r="J70" s="197">
        <v>3.85</v>
      </c>
      <c r="K70" t="s">
        <v>22</v>
      </c>
    </row>
    <row r="71" spans="3:11" x14ac:dyDescent="0.2">
      <c r="C71" s="279">
        <v>2023</v>
      </c>
      <c r="D71" s="280" t="s">
        <v>22</v>
      </c>
      <c r="E71" s="280" t="s">
        <v>172</v>
      </c>
      <c r="F71" s="84" t="str">
        <f t="shared" si="4"/>
        <v>3</v>
      </c>
      <c r="G71" s="122" t="str">
        <f t="shared" si="3"/>
        <v>N3</v>
      </c>
      <c r="H71" s="122">
        <v>0</v>
      </c>
      <c r="I71" s="122">
        <v>1.5</v>
      </c>
      <c r="J71" s="197">
        <v>2.0299999999999998</v>
      </c>
      <c r="K71" t="s">
        <v>22</v>
      </c>
    </row>
    <row r="72" spans="3:11" ht="15" thickBot="1" x14ac:dyDescent="0.25">
      <c r="C72" s="281">
        <v>2023</v>
      </c>
      <c r="D72" s="282" t="s">
        <v>22</v>
      </c>
      <c r="E72" s="282" t="s">
        <v>173</v>
      </c>
      <c r="F72" s="86" t="str">
        <f t="shared" si="4"/>
        <v>4</v>
      </c>
      <c r="G72" s="198" t="str">
        <f t="shared" si="3"/>
        <v>N4</v>
      </c>
      <c r="H72" s="198">
        <v>0</v>
      </c>
      <c r="I72" s="198">
        <v>1.2</v>
      </c>
      <c r="J72" s="199">
        <v>1.6199999999999999</v>
      </c>
      <c r="K72" t="s">
        <v>22</v>
      </c>
    </row>
    <row r="73" spans="3:11" x14ac:dyDescent="0.2">
      <c r="C73" s="283">
        <v>2023</v>
      </c>
      <c r="D73" s="284" t="s">
        <v>23</v>
      </c>
      <c r="E73" s="284" t="s">
        <v>169</v>
      </c>
      <c r="F73" s="85" t="str">
        <f t="shared" si="4"/>
        <v>0</v>
      </c>
      <c r="G73" s="200" t="str">
        <f t="shared" si="3"/>
        <v>O0</v>
      </c>
      <c r="H73" s="200">
        <v>0</v>
      </c>
      <c r="I73" s="200">
        <v>4.0599999999999996</v>
      </c>
      <c r="J73" s="201">
        <v>7.39</v>
      </c>
      <c r="K73" t="s">
        <v>23</v>
      </c>
    </row>
    <row r="74" spans="3:11" x14ac:dyDescent="0.2">
      <c r="C74" s="285">
        <v>2023</v>
      </c>
      <c r="D74" s="286" t="s">
        <v>23</v>
      </c>
      <c r="E74" s="286" t="s">
        <v>170</v>
      </c>
      <c r="F74" s="84" t="str">
        <f t="shared" si="4"/>
        <v>1</v>
      </c>
      <c r="G74" s="123" t="str">
        <f t="shared" si="3"/>
        <v>O1</v>
      </c>
      <c r="H74" s="123">
        <v>0</v>
      </c>
      <c r="I74" s="123">
        <v>3.9</v>
      </c>
      <c r="J74" s="202">
        <v>7.1</v>
      </c>
      <c r="K74" t="s">
        <v>23</v>
      </c>
    </row>
    <row r="75" spans="3:11" x14ac:dyDescent="0.2">
      <c r="C75" s="285">
        <v>2023</v>
      </c>
      <c r="D75" s="286" t="s">
        <v>23</v>
      </c>
      <c r="E75" s="286" t="s">
        <v>171</v>
      </c>
      <c r="F75" s="84" t="str">
        <f t="shared" si="4"/>
        <v>2</v>
      </c>
      <c r="G75" s="123" t="str">
        <f t="shared" si="3"/>
        <v>O2</v>
      </c>
      <c r="H75" s="123">
        <v>0</v>
      </c>
      <c r="I75" s="123">
        <v>2.85</v>
      </c>
      <c r="J75" s="202">
        <v>5.19</v>
      </c>
      <c r="K75" t="s">
        <v>23</v>
      </c>
    </row>
    <row r="76" spans="3:11" x14ac:dyDescent="0.2">
      <c r="C76" s="285">
        <v>2023</v>
      </c>
      <c r="D76" s="286" t="s">
        <v>23</v>
      </c>
      <c r="E76" s="286" t="s">
        <v>172</v>
      </c>
      <c r="F76" s="84" t="str">
        <f t="shared" si="4"/>
        <v>3</v>
      </c>
      <c r="G76" s="123" t="str">
        <f t="shared" si="3"/>
        <v>O3</v>
      </c>
      <c r="H76" s="123">
        <v>0</v>
      </c>
      <c r="I76" s="123">
        <v>1.5</v>
      </c>
      <c r="J76" s="202">
        <v>2.73</v>
      </c>
      <c r="K76" t="s">
        <v>23</v>
      </c>
    </row>
    <row r="77" spans="3:11" ht="15" thickBot="1" x14ac:dyDescent="0.25">
      <c r="C77" s="287">
        <v>2023</v>
      </c>
      <c r="D77" s="288" t="s">
        <v>23</v>
      </c>
      <c r="E77" s="288" t="s">
        <v>173</v>
      </c>
      <c r="F77" s="86" t="str">
        <f t="shared" si="4"/>
        <v>4</v>
      </c>
      <c r="G77" s="203" t="str">
        <f t="shared" si="3"/>
        <v>O4</v>
      </c>
      <c r="H77" s="203">
        <v>0</v>
      </c>
      <c r="I77" s="203">
        <v>1.2</v>
      </c>
      <c r="J77" s="204">
        <v>2.1800000000000002</v>
      </c>
      <c r="K77" t="s">
        <v>23</v>
      </c>
    </row>
    <row r="78" spans="3:11" x14ac:dyDescent="0.2">
      <c r="C78" s="289">
        <v>2023</v>
      </c>
      <c r="D78" s="290" t="s">
        <v>24</v>
      </c>
      <c r="E78" s="290" t="s">
        <v>169</v>
      </c>
      <c r="F78" s="84" t="str">
        <f t="shared" si="4"/>
        <v>0</v>
      </c>
      <c r="G78" s="124" t="str">
        <f t="shared" si="3"/>
        <v>P0</v>
      </c>
      <c r="H78" s="124">
        <v>0</v>
      </c>
      <c r="I78" s="124">
        <v>4.0599999999999996</v>
      </c>
      <c r="J78" s="210">
        <v>4.99</v>
      </c>
      <c r="K78" t="s">
        <v>24</v>
      </c>
    </row>
    <row r="79" spans="3:11" x14ac:dyDescent="0.2">
      <c r="C79" s="289">
        <v>2023</v>
      </c>
      <c r="D79" s="290" t="s">
        <v>24</v>
      </c>
      <c r="E79" s="290" t="s">
        <v>170</v>
      </c>
      <c r="F79" s="84" t="str">
        <f t="shared" si="4"/>
        <v>1</v>
      </c>
      <c r="G79" s="124" t="str">
        <f t="shared" si="3"/>
        <v>P1</v>
      </c>
      <c r="H79" s="124">
        <v>0</v>
      </c>
      <c r="I79" s="124">
        <v>3.9</v>
      </c>
      <c r="J79" s="210">
        <v>4.8</v>
      </c>
      <c r="K79" t="s">
        <v>24</v>
      </c>
    </row>
    <row r="80" spans="3:11" x14ac:dyDescent="0.2">
      <c r="C80" s="289">
        <v>2023</v>
      </c>
      <c r="D80" s="290" t="s">
        <v>24</v>
      </c>
      <c r="E80" s="290" t="s">
        <v>171</v>
      </c>
      <c r="F80" s="84" t="str">
        <f t="shared" si="4"/>
        <v>2</v>
      </c>
      <c r="G80" s="124" t="str">
        <f t="shared" si="3"/>
        <v>P2</v>
      </c>
      <c r="H80" s="124">
        <v>0</v>
      </c>
      <c r="I80" s="124">
        <v>2.85</v>
      </c>
      <c r="J80" s="210">
        <v>3.51</v>
      </c>
      <c r="K80" t="s">
        <v>24</v>
      </c>
    </row>
    <row r="81" spans="3:11" x14ac:dyDescent="0.2">
      <c r="C81" s="289">
        <v>2023</v>
      </c>
      <c r="D81" s="290" t="s">
        <v>24</v>
      </c>
      <c r="E81" s="290" t="s">
        <v>172</v>
      </c>
      <c r="F81" s="84" t="str">
        <f t="shared" si="4"/>
        <v>3</v>
      </c>
      <c r="G81" s="124" t="str">
        <f t="shared" si="3"/>
        <v>P3</v>
      </c>
      <c r="H81" s="124">
        <v>0</v>
      </c>
      <c r="I81" s="124">
        <v>1.5</v>
      </c>
      <c r="J81" s="210">
        <v>1.8499999999999999</v>
      </c>
      <c r="K81" t="s">
        <v>24</v>
      </c>
    </row>
    <row r="82" spans="3:11" ht="15" thickBot="1" x14ac:dyDescent="0.25">
      <c r="C82" s="291">
        <v>2023</v>
      </c>
      <c r="D82" s="292" t="s">
        <v>24</v>
      </c>
      <c r="E82" s="292" t="s">
        <v>173</v>
      </c>
      <c r="F82" s="86" t="str">
        <f t="shared" si="4"/>
        <v>4</v>
      </c>
      <c r="G82" s="211" t="str">
        <f t="shared" si="3"/>
        <v>P4</v>
      </c>
      <c r="H82" s="211">
        <v>0</v>
      </c>
      <c r="I82" s="211">
        <v>1.2</v>
      </c>
      <c r="J82" s="212">
        <v>1.48</v>
      </c>
      <c r="K82" t="s">
        <v>24</v>
      </c>
    </row>
  </sheetData>
  <mergeCells count="2">
    <mergeCell ref="L1:N1"/>
    <mergeCell ref="L5:N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Relaese Notes</vt:lpstr>
      <vt:lpstr>Berechnung Nettolohn</vt:lpstr>
      <vt:lpstr>PK-Tabelle</vt:lpstr>
      <vt:lpstr>Datensätze</vt:lpstr>
      <vt:lpstr>Lohntabelle24</vt:lpstr>
      <vt:lpstr>Matrizen 23_24</vt:lpstr>
      <vt:lpstr>'Berechnung Nettolohn'!Druckbereich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Bodmer Katrin</dc:creator>
  <cp:lastModifiedBy>Weber, Thomas FKD</cp:lastModifiedBy>
  <cp:lastPrinted>2022-12-07T13:47:42Z</cp:lastPrinted>
  <dcterms:created xsi:type="dcterms:W3CDTF">2010-07-13T11:47:38Z</dcterms:created>
  <dcterms:modified xsi:type="dcterms:W3CDTF">2024-01-11T14:50:16Z</dcterms:modified>
</cp:coreProperties>
</file>