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FAINTAPBKSD1\dienststellen$\avs\Bereiche\Abteilung Support\Diverses\Berechnungen LRV Sopä\"/>
    </mc:Choice>
  </mc:AlternateContent>
  <bookViews>
    <workbookView xWindow="0" yWindow="0" windowWidth="19200" windowHeight="5970" tabRatio="692"/>
  </bookViews>
  <sheets>
    <sheet name="Umrechnung Stunden-Pensen SoPä" sheetId="1" r:id="rId1"/>
    <sheet name="Ferienplan Pensenberechnung" sheetId="7" state="veryHidden" r:id="rId2"/>
    <sheet name="Umrechnung Stunden-Pensen Assis" sheetId="4" r:id="rId3"/>
    <sheet name="Ferienplan Pensenberechnung Ass" sheetId="8" state="veryHidden" r:id="rId4"/>
    <sheet name="Anleitung" sheetId="6" r:id="rId5"/>
    <sheet name="Umrechnung Lekt.-Stunden intern" sheetId="3" state="veryHidden" r:id="rId6"/>
  </sheets>
  <externalReferences>
    <externalReference r:id="rId7"/>
  </externalReferences>
  <definedNames>
    <definedName name="AlterFerienanspruch">[1]Pensenberechnung!$O$15</definedName>
    <definedName name="BeginnArbeitsdauer">[1]Pensenberechnung!$G$17</definedName>
    <definedName name="_xlnm.Print_Area" localSheetId="0">'Umrechnung Stunden-Pensen SoPä'!$B$2:$D$34</definedName>
    <definedName name="EndeArbeitsdauer">[1]Pensenberechnung!$J$17</definedName>
    <definedName name="MAGeburtsdatum">[1]Grunddaten!$E$19</definedName>
  </definedNames>
  <calcPr calcId="162913"/>
</workbook>
</file>

<file path=xl/calcChain.xml><?xml version="1.0" encoding="utf-8"?>
<calcChain xmlns="http://schemas.openxmlformats.org/spreadsheetml/2006/main">
  <c r="E2" i="8" l="1"/>
  <c r="E33" i="8" s="1"/>
  <c r="C2" i="8"/>
  <c r="E35" i="8"/>
  <c r="E27" i="8"/>
  <c r="E22" i="8"/>
  <c r="E16" i="8"/>
  <c r="E11" i="8"/>
  <c r="E2" i="7"/>
  <c r="E7" i="7" s="1"/>
  <c r="C2" i="7"/>
  <c r="D6" i="7" s="1"/>
  <c r="D5" i="7" l="1"/>
  <c r="E5" i="7"/>
  <c r="E6" i="8"/>
  <c r="E13" i="8"/>
  <c r="E14" i="8"/>
  <c r="E24" i="8"/>
  <c r="E31" i="8"/>
  <c r="E34" i="8"/>
  <c r="E8" i="8"/>
  <c r="E12" i="8"/>
  <c r="E15" i="8"/>
  <c r="E20" i="8"/>
  <c r="E21" i="8"/>
  <c r="E23" i="8"/>
  <c r="E26" i="8"/>
  <c r="E29" i="8"/>
  <c r="D35" i="8"/>
  <c r="F35" i="8" s="1"/>
  <c r="D33" i="8"/>
  <c r="F33" i="8" s="1"/>
  <c r="D31" i="8"/>
  <c r="F31" i="8" s="1"/>
  <c r="D29" i="8"/>
  <c r="F29" i="8" s="1"/>
  <c r="D27" i="8"/>
  <c r="F27" i="8" s="1"/>
  <c r="D26" i="8"/>
  <c r="D24" i="8"/>
  <c r="D23" i="8"/>
  <c r="F23" i="8" s="1"/>
  <c r="D22" i="8"/>
  <c r="F22" i="8" s="1"/>
  <c r="D21" i="8"/>
  <c r="D20" i="8"/>
  <c r="D16" i="8"/>
  <c r="F16" i="8" s="1"/>
  <c r="D15" i="8"/>
  <c r="F15" i="8" s="1"/>
  <c r="D14" i="8"/>
  <c r="D13" i="8"/>
  <c r="D12" i="8"/>
  <c r="F12" i="8" s="1"/>
  <c r="D11" i="8"/>
  <c r="F11" i="8" s="1"/>
  <c r="D8" i="8"/>
  <c r="F8" i="8" s="1"/>
  <c r="D6" i="8"/>
  <c r="D34" i="8"/>
  <c r="D32" i="8"/>
  <c r="D30" i="8"/>
  <c r="D28" i="8"/>
  <c r="D25" i="8"/>
  <c r="D19" i="8"/>
  <c r="D18" i="8"/>
  <c r="D17" i="8"/>
  <c r="M11" i="8"/>
  <c r="D10" i="8"/>
  <c r="D9" i="8"/>
  <c r="D7" i="8"/>
  <c r="D5" i="8"/>
  <c r="E5" i="8"/>
  <c r="E7" i="8"/>
  <c r="E9" i="8"/>
  <c r="E10" i="8"/>
  <c r="E17" i="8"/>
  <c r="E18" i="8"/>
  <c r="E19" i="8"/>
  <c r="E25" i="8"/>
  <c r="E28" i="8"/>
  <c r="E30" i="8"/>
  <c r="E32" i="8"/>
  <c r="D21" i="7"/>
  <c r="D29" i="7"/>
  <c r="D13" i="7"/>
  <c r="D33" i="7"/>
  <c r="D25" i="7"/>
  <c r="D17" i="7"/>
  <c r="D9" i="7"/>
  <c r="D35" i="7"/>
  <c r="D31" i="7"/>
  <c r="D27" i="7"/>
  <c r="D23" i="7"/>
  <c r="D19" i="7"/>
  <c r="D15" i="7"/>
  <c r="D11" i="7"/>
  <c r="D7" i="7"/>
  <c r="F7" i="7" s="1"/>
  <c r="E34" i="7"/>
  <c r="E32" i="7"/>
  <c r="E30" i="7"/>
  <c r="E28" i="7"/>
  <c r="E26" i="7"/>
  <c r="E24" i="7"/>
  <c r="E22" i="7"/>
  <c r="E20" i="7"/>
  <c r="E18" i="7"/>
  <c r="E16" i="7"/>
  <c r="E14" i="7"/>
  <c r="E12" i="7"/>
  <c r="E10" i="7"/>
  <c r="E8" i="7"/>
  <c r="E6" i="7"/>
  <c r="F6" i="7" s="1"/>
  <c r="D34" i="7"/>
  <c r="D32" i="7"/>
  <c r="D30" i="7"/>
  <c r="D28" i="7"/>
  <c r="D26" i="7"/>
  <c r="D24" i="7"/>
  <c r="D22" i="7"/>
  <c r="D20" i="7"/>
  <c r="D18" i="7"/>
  <c r="D16" i="7"/>
  <c r="D14" i="7"/>
  <c r="D12" i="7"/>
  <c r="D10" i="7"/>
  <c r="D8" i="7"/>
  <c r="E35" i="7"/>
  <c r="E33" i="7"/>
  <c r="F33" i="7" s="1"/>
  <c r="E31" i="7"/>
  <c r="E29" i="7"/>
  <c r="E27" i="7"/>
  <c r="E25" i="7"/>
  <c r="E23" i="7"/>
  <c r="E21" i="7"/>
  <c r="E19" i="7"/>
  <c r="E17" i="7"/>
  <c r="F17" i="7" s="1"/>
  <c r="E15" i="7"/>
  <c r="F15" i="7" s="1"/>
  <c r="E13" i="7"/>
  <c r="E11" i="7"/>
  <c r="E9" i="7"/>
  <c r="F8" i="7" l="1"/>
  <c r="F12" i="7"/>
  <c r="F16" i="7"/>
  <c r="F20" i="7"/>
  <c r="F28" i="7"/>
  <c r="F32" i="7"/>
  <c r="F21" i="7"/>
  <c r="F14" i="7"/>
  <c r="F5" i="7"/>
  <c r="F10" i="7"/>
  <c r="F18" i="7"/>
  <c r="F22" i="7"/>
  <c r="F26" i="7"/>
  <c r="F30" i="7"/>
  <c r="F34" i="7"/>
  <c r="F24" i="7"/>
  <c r="F29" i="7"/>
  <c r="F35" i="7"/>
  <c r="F11" i="7"/>
  <c r="F27" i="7"/>
  <c r="F34" i="8"/>
  <c r="F13" i="8"/>
  <c r="F20" i="8"/>
  <c r="F24" i="8"/>
  <c r="F6" i="8"/>
  <c r="F14" i="8"/>
  <c r="D17" i="4"/>
  <c r="F21" i="8"/>
  <c r="F26" i="8"/>
  <c r="F5" i="8"/>
  <c r="F9" i="8"/>
  <c r="F18" i="8"/>
  <c r="F25" i="8"/>
  <c r="F30" i="8"/>
  <c r="F7" i="8"/>
  <c r="F10" i="8"/>
  <c r="F17" i="8"/>
  <c r="F19" i="8"/>
  <c r="F28" i="8"/>
  <c r="F32" i="8"/>
  <c r="F13" i="7"/>
  <c r="F9" i="7"/>
  <c r="F25" i="7"/>
  <c r="F19" i="7"/>
  <c r="F23" i="7"/>
  <c r="F31" i="7"/>
  <c r="M11" i="7"/>
  <c r="D15" i="4"/>
  <c r="D15" i="1"/>
  <c r="D17" i="1" l="1"/>
  <c r="M12" i="7"/>
  <c r="M12" i="8"/>
  <c r="M17" i="8" s="1"/>
  <c r="D18" i="4" s="1"/>
  <c r="M17" i="7"/>
  <c r="D18" i="1" s="1"/>
  <c r="D11" i="4"/>
  <c r="D19" i="1"/>
  <c r="D11" i="1"/>
  <c r="B11" i="1"/>
  <c r="D8" i="1"/>
  <c r="M13" i="7" l="1"/>
  <c r="M14" i="7" s="1"/>
  <c r="D21" i="1" l="1"/>
  <c r="D22" i="1" s="1"/>
  <c r="D23" i="1" s="1"/>
  <c r="D24" i="1" s="1"/>
  <c r="D26" i="1" s="1"/>
  <c r="M15" i="7"/>
  <c r="M18" i="7" s="1"/>
  <c r="M21" i="7" s="1"/>
  <c r="M22" i="7" s="1"/>
  <c r="M23" i="7" s="1"/>
  <c r="D19" i="4"/>
  <c r="M13" i="8" s="1"/>
  <c r="M14" i="8" s="1"/>
  <c r="M15" i="8" s="1"/>
  <c r="M18" i="8" s="1"/>
  <c r="M21" i="8" s="1"/>
  <c r="B11" i="4"/>
  <c r="D8" i="4"/>
  <c r="M26" i="7" l="1"/>
  <c r="D21" i="4"/>
  <c r="D22" i="4" s="1"/>
  <c r="M22" i="8"/>
  <c r="M23" i="8" s="1"/>
  <c r="M26" i="8"/>
  <c r="D25" i="1"/>
  <c r="D23" i="4"/>
  <c r="D24" i="4" s="1"/>
  <c r="D26" i="4" s="1"/>
  <c r="D25" i="4" l="1"/>
  <c r="F14" i="3"/>
  <c r="F15" i="3"/>
  <c r="F16" i="3"/>
  <c r="E16" i="3"/>
  <c r="E15" i="3"/>
  <c r="D15" i="3"/>
  <c r="E14" i="3"/>
  <c r="G11" i="3"/>
  <c r="E11" i="3"/>
  <c r="D16" i="3" s="1"/>
  <c r="F10" i="3"/>
  <c r="E10" i="3"/>
  <c r="G10" i="3" s="1"/>
  <c r="E9" i="3"/>
  <c r="D14" i="3" s="1"/>
  <c r="G9" i="3" l="1"/>
  <c r="F9" i="3"/>
  <c r="F11" i="3"/>
</calcChain>
</file>

<file path=xl/sharedStrings.xml><?xml version="1.0" encoding="utf-8"?>
<sst xmlns="http://schemas.openxmlformats.org/spreadsheetml/2006/main" count="160" uniqueCount="81">
  <si>
    <t>Name:</t>
  </si>
  <si>
    <t>Gemeinde:</t>
  </si>
  <si>
    <t>Vorname:</t>
  </si>
  <si>
    <t>Geburtsdatum:</t>
  </si>
  <si>
    <t>Anzahl Anstellungsmonate:</t>
  </si>
  <si>
    <t>Arbeitswochen abzüglich Ferienanspruch:</t>
  </si>
  <si>
    <t>Stundenansatz pro Woche:</t>
  </si>
  <si>
    <t>Stundenansatz pro Tag:</t>
  </si>
  <si>
    <t>Alter</t>
  </si>
  <si>
    <t>Ferientage</t>
  </si>
  <si>
    <t>Alter:</t>
  </si>
  <si>
    <t>von</t>
  </si>
  <si>
    <t>bis</t>
  </si>
  <si>
    <t>Primarstufe</t>
  </si>
  <si>
    <t>Sozialpädagogik</t>
  </si>
  <si>
    <t>Lehrpersonen</t>
  </si>
  <si>
    <t>Assistenz</t>
  </si>
  <si>
    <t>Faktor Lektionen-&gt;Stunden SoPä/LP</t>
  </si>
  <si>
    <t>Faktor Lektionen-&gt;Stunden Ass.</t>
  </si>
  <si>
    <t>Anzahl</t>
  </si>
  <si>
    <t>Einheit</t>
  </si>
  <si>
    <t>Pensum</t>
  </si>
  <si>
    <t>1 Lektion</t>
  </si>
  <si>
    <t>Stunden</t>
  </si>
  <si>
    <t>Lektionen</t>
  </si>
  <si>
    <t>Stunden (52 Wochen)</t>
  </si>
  <si>
    <t>Stunden (38 Wochen)</t>
  </si>
  <si>
    <t>Faktor Umrechnung 52 Wochen--&gt;38 Wochen (siehe Umrechnung Stunden-Pensen)</t>
  </si>
  <si>
    <t>Faktor Lektionen-&gt;Stunden LP</t>
  </si>
  <si>
    <t>1 Stunde (52 Wochen)</t>
  </si>
  <si>
    <t>1 Stunde (38 Wochen)</t>
  </si>
  <si>
    <t>Informationen zur Lehrperson</t>
  </si>
  <si>
    <t xml:space="preserve">von... </t>
  </si>
  <si>
    <t>bis …</t>
  </si>
  <si>
    <t>Ferienanspruch in Tage:</t>
  </si>
  <si>
    <t>Ferienanspruch in Wochen:</t>
  </si>
  <si>
    <t>Arbeitswochen inkl. Schulferien:*</t>
  </si>
  <si>
    <t>*Bezieht sich auf den Zeitraum der Arbeitsdauer (Zellen C19 und C20)</t>
  </si>
  <si>
    <t>Angaben zur Anstellung</t>
  </si>
  <si>
    <t>Weitere Angaben</t>
  </si>
  <si>
    <t>Berechnung Pensum in Prozent</t>
  </si>
  <si>
    <t>Pensum in Prozent:</t>
  </si>
  <si>
    <t>Ferienanspruch gemäss Alter**:</t>
  </si>
  <si>
    <t>Anstellungszeitraum</t>
  </si>
  <si>
    <t>**Anspruch Ferientage nach Alter</t>
  </si>
  <si>
    <t>Unterrichtswochen (exkl. Schulferien):*</t>
  </si>
  <si>
    <t>Bitte nur markierte Felder ausfüllen</t>
  </si>
  <si>
    <t>Geplante Stunden:</t>
  </si>
  <si>
    <t>Berechnung Pensum Assistenz</t>
  </si>
  <si>
    <t>Beginn</t>
  </si>
  <si>
    <t>Ende</t>
  </si>
  <si>
    <t>Schuljahr</t>
  </si>
  <si>
    <t>1. Ferientag</t>
  </si>
  <si>
    <t>1. Arbeitstag</t>
  </si>
  <si>
    <t>Anzahl Tage Schulferien nach Beginn</t>
  </si>
  <si>
    <t>Anzahl Tage Schulferien nach Ende</t>
  </si>
  <si>
    <t>Anzahl anzurechnende Tage Schulferien</t>
  </si>
  <si>
    <t>21 / 22</t>
  </si>
  <si>
    <t>Berechnung</t>
  </si>
  <si>
    <t>22 / 23</t>
  </si>
  <si>
    <t>Total Tage in Arbeitszeitraum</t>
  </si>
  <si>
    <t>Total Tage Schulferien während Arbeitsdauer</t>
  </si>
  <si>
    <t>Ferienanspruch</t>
  </si>
  <si>
    <t>während Dauer</t>
  </si>
  <si>
    <t>Arbeitstage abzgl. Ferienanspruch</t>
  </si>
  <si>
    <t>23 / 24</t>
  </si>
  <si>
    <t>Arbeitstage ohne Schulferien</t>
  </si>
  <si>
    <t xml:space="preserve">Umrechnungsfaktor </t>
  </si>
  <si>
    <t>24 / 25</t>
  </si>
  <si>
    <t>Stundenansatz pro Woche</t>
  </si>
  <si>
    <t>Stundenansatz pro Tag ungerundet</t>
  </si>
  <si>
    <t>gerundet</t>
  </si>
  <si>
    <t>Arbeitsstunden pro Woche</t>
  </si>
  <si>
    <t>25 / 26</t>
  </si>
  <si>
    <t>26 / 27</t>
  </si>
  <si>
    <t>Anspruch Ferientage gemäss Alter zu Beginn Kalenderjahr</t>
  </si>
  <si>
    <t>&lt; 49</t>
  </si>
  <si>
    <t>49 - 59</t>
  </si>
  <si>
    <t>&gt; 59</t>
  </si>
  <si>
    <t/>
  </si>
  <si>
    <t>Berechnung Pensum Sozialpädagogik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</si>
</sst>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_ * #,##0_ ;_ * \-#,##0_ ;_ * &quot;-&quot;??_ ;_ @_ "/>
  </numFmts>
  <fonts count="12" x14ac:knownFonts="1">
    <font>
      <sz val="10"/>
      <name val="Arial"/>
    </font>
    <font>
      <sz val="12"/>
      <name val="Arial"/>
      <family val="2"/>
    </font>
    <font>
      <sz val="8"/>
      <name val="Arial"/>
      <family val="2"/>
    </font>
    <font>
      <b/>
      <sz val="12"/>
      <name val="Arial"/>
      <family val="2"/>
    </font>
    <font>
      <sz val="10"/>
      <name val="Arial"/>
      <family val="2"/>
    </font>
    <font>
      <b/>
      <sz val="10"/>
      <name val="Arial"/>
      <family val="2"/>
    </font>
    <font>
      <sz val="10"/>
      <name val="Arial"/>
      <family val="2"/>
    </font>
    <font>
      <b/>
      <sz val="12"/>
      <color rgb="FFFF0000"/>
      <name val="Arial"/>
      <family val="2"/>
    </font>
    <font>
      <b/>
      <sz val="14"/>
      <color theme="1"/>
      <name val="Calibri"/>
      <family val="2"/>
      <scheme val="minor"/>
    </font>
    <font>
      <sz val="11"/>
      <name val="Arial"/>
      <family val="2"/>
    </font>
    <font>
      <b/>
      <sz val="10"/>
      <name val="MS Sans Serif"/>
    </font>
    <font>
      <sz val="10"/>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9"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9" tint="-0.249977111117893"/>
      </left>
      <right style="thin">
        <color theme="0" tint="-0.249977111117893"/>
      </right>
      <top style="thin">
        <color theme="9" tint="-0.249977111117893"/>
      </top>
      <bottom style="thin">
        <color theme="9" tint="-0.249977111117893"/>
      </bottom>
      <diagonal/>
    </border>
    <border>
      <left style="thin">
        <color theme="0" tint="-0.249977111117893"/>
      </left>
      <right style="thin">
        <color theme="9" tint="-0.249977111117893"/>
      </right>
      <top style="thin">
        <color theme="9" tint="-0.249977111117893"/>
      </top>
      <bottom style="thin">
        <color theme="9"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03">
    <xf numFmtId="0" fontId="0" fillId="0" borderId="0" xfId="0"/>
    <xf numFmtId="0" fontId="1" fillId="0" borderId="0" xfId="0" applyFont="1"/>
    <xf numFmtId="43" fontId="1" fillId="0" borderId="0" xfId="1" applyFont="1"/>
    <xf numFmtId="0" fontId="3" fillId="0" borderId="0" xfId="0" quotePrefix="1" applyFont="1"/>
    <xf numFmtId="0" fontId="5" fillId="0" borderId="0" xfId="0" applyFont="1"/>
    <xf numFmtId="0" fontId="6" fillId="2" borderId="1" xfId="0" applyFont="1" applyFill="1" applyBorder="1"/>
    <xf numFmtId="0" fontId="0" fillId="0" borderId="1" xfId="0" applyBorder="1"/>
    <xf numFmtId="0" fontId="0" fillId="2" borderId="1" xfId="0" applyFill="1" applyBorder="1"/>
    <xf numFmtId="9" fontId="0" fillId="0" borderId="1" xfId="0" applyNumberFormat="1" applyBorder="1"/>
    <xf numFmtId="0" fontId="6" fillId="0" borderId="0" xfId="0" applyFont="1"/>
    <xf numFmtId="0" fontId="6" fillId="0" borderId="1" xfId="0" applyFont="1" applyBorder="1"/>
    <xf numFmtId="9" fontId="5" fillId="0" borderId="0" xfId="0" applyNumberFormat="1" applyFont="1"/>
    <xf numFmtId="0" fontId="0" fillId="0" borderId="0" xfId="0" applyFont="1" applyFill="1" applyBorder="1"/>
    <xf numFmtId="0" fontId="6" fillId="2" borderId="1" xfId="0" applyFont="1" applyFill="1" applyBorder="1" applyAlignment="1">
      <alignment wrapText="1"/>
    </xf>
    <xf numFmtId="0" fontId="0" fillId="5" borderId="1" xfId="0" applyFill="1" applyBorder="1"/>
    <xf numFmtId="0" fontId="0" fillId="5" borderId="0" xfId="0" applyFont="1" applyFill="1" applyBorder="1"/>
    <xf numFmtId="0" fontId="0" fillId="2" borderId="1" xfId="0" applyFont="1" applyFill="1" applyBorder="1"/>
    <xf numFmtId="164" fontId="6" fillId="4" borderId="1" xfId="2" applyNumberFormat="1" applyFont="1" applyFill="1" applyBorder="1"/>
    <xf numFmtId="43" fontId="6" fillId="4" borderId="1" xfId="1" applyNumberFormat="1" applyFont="1" applyFill="1" applyBorder="1"/>
    <xf numFmtId="0" fontId="0" fillId="4" borderId="1" xfId="0" applyFill="1" applyBorder="1"/>
    <xf numFmtId="10" fontId="6" fillId="0" borderId="1" xfId="2" applyNumberFormat="1" applyFont="1" applyFill="1" applyBorder="1"/>
    <xf numFmtId="0" fontId="4" fillId="0" borderId="0" xfId="0" applyFont="1"/>
    <xf numFmtId="0" fontId="7" fillId="0" borderId="0" xfId="0" applyFont="1" applyAlignment="1">
      <alignment horizontal="left"/>
    </xf>
    <xf numFmtId="2" fontId="1" fillId="0" borderId="0" xfId="0" applyNumberFormat="1" applyFont="1"/>
    <xf numFmtId="43" fontId="1" fillId="0" borderId="0" xfId="0" applyNumberFormat="1" applyFont="1"/>
    <xf numFmtId="0" fontId="1" fillId="4" borderId="4" xfId="0" applyFont="1" applyFill="1" applyBorder="1"/>
    <xf numFmtId="1" fontId="1" fillId="3" borderId="1" xfId="0" applyNumberFormat="1" applyFont="1" applyFill="1" applyBorder="1" applyAlignment="1" applyProtection="1">
      <alignment horizontal="right"/>
    </xf>
    <xf numFmtId="2" fontId="1" fillId="3" borderId="1" xfId="0" applyNumberFormat="1" applyFont="1" applyFill="1" applyBorder="1" applyAlignment="1" applyProtection="1">
      <alignment horizontal="right" vertical="center"/>
    </xf>
    <xf numFmtId="0" fontId="1" fillId="6" borderId="3" xfId="0" applyFont="1" applyFill="1" applyBorder="1"/>
    <xf numFmtId="0" fontId="1" fillId="6" borderId="0" xfId="0" applyFont="1" applyFill="1" applyBorder="1"/>
    <xf numFmtId="0" fontId="1" fillId="6" borderId="9" xfId="0" applyFont="1" applyFill="1" applyBorder="1"/>
    <xf numFmtId="0" fontId="3" fillId="7" borderId="10" xfId="0" applyFont="1" applyFill="1" applyBorder="1"/>
    <xf numFmtId="0" fontId="1" fillId="7" borderId="0" xfId="0" applyFont="1" applyFill="1" applyBorder="1"/>
    <xf numFmtId="0" fontId="1" fillId="7" borderId="11" xfId="0" applyFont="1" applyFill="1" applyBorder="1"/>
    <xf numFmtId="0" fontId="1" fillId="6" borderId="10" xfId="0" applyFont="1" applyFill="1" applyBorder="1" applyAlignment="1">
      <alignment horizontal="left"/>
    </xf>
    <xf numFmtId="14" fontId="1" fillId="4" borderId="12" xfId="0" applyNumberFormat="1" applyFont="1" applyFill="1" applyBorder="1" applyAlignment="1" applyProtection="1">
      <alignment horizontal="right"/>
      <protection locked="0"/>
    </xf>
    <xf numFmtId="1" fontId="1" fillId="3" borderId="11" xfId="0" applyNumberFormat="1" applyFont="1" applyFill="1" applyBorder="1" applyAlignment="1" applyProtection="1">
      <alignment horizontal="right"/>
    </xf>
    <xf numFmtId="0" fontId="1" fillId="4" borderId="13" xfId="0" applyFont="1" applyFill="1" applyBorder="1" applyAlignment="1" applyProtection="1">
      <alignment horizontal="left"/>
      <protection locked="0"/>
    </xf>
    <xf numFmtId="1" fontId="1" fillId="4" borderId="12" xfId="0" applyNumberFormat="1" applyFont="1" applyFill="1" applyBorder="1" applyAlignment="1" applyProtection="1">
      <alignment horizontal="right"/>
      <protection locked="0"/>
    </xf>
    <xf numFmtId="0" fontId="1" fillId="6" borderId="14" xfId="0" applyFont="1" applyFill="1" applyBorder="1"/>
    <xf numFmtId="0" fontId="1" fillId="6" borderId="11" xfId="0" applyFont="1" applyFill="1" applyBorder="1"/>
    <xf numFmtId="0" fontId="3" fillId="6" borderId="14" xfId="0" applyFont="1" applyFill="1" applyBorder="1"/>
    <xf numFmtId="0" fontId="3" fillId="6" borderId="3" xfId="0" applyFont="1" applyFill="1" applyBorder="1"/>
    <xf numFmtId="43" fontId="3" fillId="6" borderId="16" xfId="0" applyNumberFormat="1" applyFont="1" applyFill="1" applyBorder="1"/>
    <xf numFmtId="0" fontId="9" fillId="0" borderId="0" xfId="0" applyFont="1"/>
    <xf numFmtId="0" fontId="9" fillId="2" borderId="7" xfId="0" applyFont="1" applyFill="1" applyBorder="1" applyAlignment="1">
      <alignment horizontal="right"/>
    </xf>
    <xf numFmtId="0" fontId="9" fillId="4" borderId="1" xfId="0" applyFont="1" applyFill="1" applyBorder="1"/>
    <xf numFmtId="0" fontId="1" fillId="4" borderId="12" xfId="0" applyFont="1" applyFill="1" applyBorder="1" applyAlignment="1" applyProtection="1">
      <alignment horizontal="left" shrinkToFit="1"/>
      <protection locked="0"/>
    </xf>
    <xf numFmtId="43" fontId="1" fillId="3" borderId="11" xfId="1" applyNumberFormat="1" applyFont="1" applyFill="1" applyBorder="1" applyAlignment="1" applyProtection="1">
      <alignment horizontal="right"/>
    </xf>
    <xf numFmtId="0" fontId="0" fillId="8" borderId="0" xfId="0" applyFont="1" applyFill="1"/>
    <xf numFmtId="0" fontId="10" fillId="8" borderId="0" xfId="0" applyFont="1" applyFill="1"/>
    <xf numFmtId="14" fontId="0" fillId="4" borderId="0" xfId="0" applyNumberFormat="1" applyFont="1" applyFill="1"/>
    <xf numFmtId="0" fontId="10" fillId="8" borderId="0" xfId="0" applyFont="1" applyFill="1" applyAlignment="1">
      <alignment horizontal="right"/>
    </xf>
    <xf numFmtId="0" fontId="0" fillId="8" borderId="0" xfId="0" applyFont="1" applyFill="1" applyAlignment="1">
      <alignment horizontal="right"/>
    </xf>
    <xf numFmtId="14" fontId="0" fillId="8" borderId="0" xfId="0" applyNumberFormat="1" applyFont="1" applyFill="1"/>
    <xf numFmtId="0" fontId="0" fillId="8" borderId="0" xfId="0" applyFont="1" applyFill="1" applyAlignment="1">
      <alignment horizontal="center"/>
    </xf>
    <xf numFmtId="0" fontId="10" fillId="8" borderId="0" xfId="0" applyFont="1" applyFill="1" applyAlignment="1">
      <alignment horizontal="center" vertical="center" wrapText="1"/>
    </xf>
    <xf numFmtId="14" fontId="0" fillId="4" borderId="0" xfId="0" applyNumberFormat="1" applyFont="1" applyFill="1" applyAlignment="1">
      <alignment horizontal="right" vertical="center" wrapText="1"/>
    </xf>
    <xf numFmtId="0" fontId="0" fillId="4" borderId="0" xfId="0" applyFont="1" applyFill="1"/>
    <xf numFmtId="0" fontId="0" fillId="8" borderId="17" xfId="0" applyFont="1" applyFill="1" applyBorder="1"/>
    <xf numFmtId="0" fontId="0" fillId="8" borderId="18" xfId="0" applyFont="1" applyFill="1" applyBorder="1"/>
    <xf numFmtId="0" fontId="0" fillId="8" borderId="19" xfId="0" applyFont="1" applyFill="1" applyBorder="1" applyAlignment="1">
      <alignment horizontal="right"/>
    </xf>
    <xf numFmtId="0" fontId="10" fillId="8" borderId="23" xfId="0" applyFont="1" applyFill="1" applyBorder="1" applyAlignment="1">
      <alignment horizontal="left" vertical="center" indent="1"/>
    </xf>
    <xf numFmtId="0" fontId="0" fillId="8" borderId="0" xfId="0" applyFont="1" applyFill="1" applyBorder="1"/>
    <xf numFmtId="0" fontId="0" fillId="8" borderId="23" xfId="0" applyFont="1" applyFill="1" applyBorder="1" applyAlignment="1">
      <alignment horizontal="left" indent="1"/>
    </xf>
    <xf numFmtId="0" fontId="0" fillId="8" borderId="24" xfId="0" applyFont="1" applyFill="1" applyBorder="1" applyAlignment="1">
      <alignment horizontal="right"/>
    </xf>
    <xf numFmtId="2" fontId="0" fillId="8" borderId="24" xfId="1" applyNumberFormat="1" applyFont="1" applyFill="1" applyBorder="1" applyAlignment="1">
      <alignment horizontal="right" indent="2"/>
    </xf>
    <xf numFmtId="2" fontId="0" fillId="8" borderId="24" xfId="0" applyNumberFormat="1" applyFont="1" applyFill="1" applyBorder="1" applyAlignment="1">
      <alignment horizontal="right" indent="2"/>
    </xf>
    <xf numFmtId="0" fontId="0" fillId="8" borderId="23" xfId="0" applyFont="1" applyFill="1" applyBorder="1"/>
    <xf numFmtId="0" fontId="0" fillId="8" borderId="20" xfId="0" applyFont="1" applyFill="1" applyBorder="1"/>
    <xf numFmtId="0" fontId="0" fillId="8" borderId="21" xfId="0" applyFont="1" applyFill="1" applyBorder="1"/>
    <xf numFmtId="0" fontId="0" fillId="8" borderId="22" xfId="0" applyFont="1" applyFill="1" applyBorder="1" applyAlignment="1">
      <alignment horizontal="right"/>
    </xf>
    <xf numFmtId="0" fontId="4" fillId="8" borderId="0" xfId="0" applyFont="1" applyFill="1" applyProtection="1"/>
    <xf numFmtId="0" fontId="4" fillId="8" borderId="0" xfId="0" applyFont="1" applyFill="1" applyAlignment="1" applyProtection="1">
      <alignment horizontal="right"/>
    </xf>
    <xf numFmtId="0" fontId="5" fillId="8" borderId="25" xfId="0" applyFont="1" applyFill="1" applyBorder="1" applyAlignment="1" applyProtection="1">
      <alignment horizontal="left"/>
    </xf>
    <xf numFmtId="0" fontId="5" fillId="8" borderId="26" xfId="0" applyFont="1" applyFill="1" applyBorder="1" applyAlignment="1" applyProtection="1">
      <alignment horizontal="center"/>
    </xf>
    <xf numFmtId="0" fontId="5" fillId="8" borderId="0" xfId="0" applyFont="1" applyFill="1" applyBorder="1" applyAlignment="1" applyProtection="1">
      <alignment horizontal="center"/>
    </xf>
    <xf numFmtId="0" fontId="5" fillId="8" borderId="26" xfId="0" applyFont="1" applyFill="1" applyBorder="1" applyProtection="1"/>
    <xf numFmtId="0" fontId="4" fillId="8" borderId="26" xfId="0" applyFont="1" applyFill="1" applyBorder="1" applyAlignment="1" applyProtection="1">
      <alignment horizontal="center"/>
    </xf>
    <xf numFmtId="0" fontId="4" fillId="8" borderId="0" xfId="0" applyFont="1" applyFill="1" applyBorder="1" applyAlignment="1" applyProtection="1">
      <alignment horizontal="center"/>
    </xf>
    <xf numFmtId="0" fontId="0" fillId="8" borderId="0" xfId="0" applyFill="1"/>
    <xf numFmtId="2" fontId="0" fillId="5" borderId="24" xfId="0" applyNumberFormat="1" applyFont="1" applyFill="1" applyBorder="1" applyAlignment="1">
      <alignment horizontal="right" indent="2"/>
    </xf>
    <xf numFmtId="14" fontId="0" fillId="5" borderId="0" xfId="0" applyNumberFormat="1" applyFont="1" applyFill="1"/>
    <xf numFmtId="0" fontId="0" fillId="5" borderId="0" xfId="0" applyFont="1" applyFill="1" applyAlignment="1">
      <alignment horizontal="center"/>
    </xf>
    <xf numFmtId="165" fontId="1" fillId="0" borderId="0" xfId="1" applyNumberFormat="1" applyFont="1"/>
    <xf numFmtId="1" fontId="1" fillId="3" borderId="1" xfId="0" applyNumberFormat="1" applyFont="1" applyFill="1" applyBorder="1" applyAlignment="1" applyProtection="1">
      <alignment horizontal="right" vertical="center"/>
    </xf>
    <xf numFmtId="0" fontId="9" fillId="2" borderId="2" xfId="0" applyFont="1" applyFill="1" applyBorder="1" applyAlignment="1">
      <alignment horizontal="center"/>
    </xf>
    <xf numFmtId="0" fontId="9" fillId="2" borderId="6" xfId="0" applyFont="1" applyFill="1" applyBorder="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6" borderId="1" xfId="0" applyFont="1" applyFill="1" applyBorder="1" applyAlignment="1">
      <alignment horizontal="left" wrapText="1"/>
    </xf>
    <xf numFmtId="0" fontId="1" fillId="6" borderId="15" xfId="0" applyFont="1" applyFill="1" applyBorder="1" applyAlignment="1">
      <alignment horizontal="left"/>
    </xf>
    <xf numFmtId="0" fontId="1" fillId="6" borderId="5" xfId="0" applyFont="1" applyFill="1" applyBorder="1" applyAlignment="1">
      <alignment horizontal="left"/>
    </xf>
    <xf numFmtId="0" fontId="8" fillId="2" borderId="8"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6" xfId="0" applyFont="1" applyFill="1" applyBorder="1" applyAlignment="1" applyProtection="1">
      <alignment horizontal="center"/>
    </xf>
    <xf numFmtId="0" fontId="1" fillId="6" borderId="10" xfId="0" applyFont="1" applyFill="1" applyBorder="1" applyAlignment="1">
      <alignment horizontal="left" vertical="center"/>
    </xf>
    <xf numFmtId="0" fontId="1" fillId="6" borderId="14" xfId="0" applyFont="1" applyFill="1" applyBorder="1" applyAlignment="1">
      <alignment horizontal="left" vertical="center"/>
    </xf>
    <xf numFmtId="0" fontId="1" fillId="6" borderId="15" xfId="0" applyFont="1" applyFill="1" applyBorder="1" applyAlignment="1">
      <alignment horizontal="left" wrapText="1"/>
    </xf>
    <xf numFmtId="0" fontId="1" fillId="6" borderId="5" xfId="0" applyFont="1" applyFill="1" applyBorder="1" applyAlignment="1">
      <alignment horizontal="left" wrapText="1"/>
    </xf>
    <xf numFmtId="0" fontId="10" fillId="8" borderId="0" xfId="0" applyFont="1" applyFill="1" applyAlignment="1">
      <alignment horizontal="center" vertical="center"/>
    </xf>
    <xf numFmtId="0" fontId="11" fillId="8" borderId="0" xfId="0" applyFont="1" applyFill="1" applyBorder="1" applyAlignment="1">
      <alignment horizontal="center"/>
    </xf>
    <xf numFmtId="0" fontId="11" fillId="8" borderId="24" xfId="0" applyFont="1" applyFill="1" applyBorder="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419100</xdr:colOff>
      <xdr:row>6</xdr:row>
      <xdr:rowOff>0</xdr:rowOff>
    </xdr:from>
    <xdr:to>
      <xdr:col>11</xdr:col>
      <xdr:colOff>419100</xdr:colOff>
      <xdr:row>9</xdr:row>
      <xdr:rowOff>0</xdr:rowOff>
    </xdr:to>
    <xdr:sp macro="" textlink="">
      <xdr:nvSpPr>
        <xdr:cNvPr id="3" name="Textfeld 2"/>
        <xdr:cNvSpPr txBox="1"/>
      </xdr:nvSpPr>
      <xdr:spPr>
        <a:xfrm>
          <a:off x="4991100" y="971550"/>
          <a:ext cx="38100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Wird berechnet (und</a:t>
          </a:r>
          <a:r>
            <a:rPr lang="de-CH" sz="1100" baseline="0"/>
            <a:t> für keine weiteren Berechnungen verwendet)</a:t>
          </a:r>
          <a:r>
            <a:rPr lang="de-CH" sz="1100"/>
            <a:t>.</a:t>
          </a:r>
        </a:p>
      </xdr:txBody>
    </xdr:sp>
    <xdr:clientData/>
  </xdr:twoCellAnchor>
  <xdr:twoCellAnchor>
    <xdr:from>
      <xdr:col>5</xdr:col>
      <xdr:colOff>428626</xdr:colOff>
      <xdr:row>7</xdr:row>
      <xdr:rowOff>80963</xdr:rowOff>
    </xdr:from>
    <xdr:to>
      <xdr:col>6</xdr:col>
      <xdr:colOff>419100</xdr:colOff>
      <xdr:row>8</xdr:row>
      <xdr:rowOff>76200</xdr:rowOff>
    </xdr:to>
    <xdr:cxnSp macro="">
      <xdr:nvCxnSpPr>
        <xdr:cNvPr id="6" name="Gerader Verbinder 5"/>
        <xdr:cNvCxnSpPr>
          <a:stCxn id="3" idx="1"/>
        </xdr:cNvCxnSpPr>
      </xdr:nvCxnSpPr>
      <xdr:spPr>
        <a:xfrm flipH="1">
          <a:off x="4238626" y="1214438"/>
          <a:ext cx="752474" cy="1571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419098</xdr:colOff>
      <xdr:row>17</xdr:row>
      <xdr:rowOff>28576</xdr:rowOff>
    </xdr:from>
    <xdr:to>
      <xdr:col>11</xdr:col>
      <xdr:colOff>419099</xdr:colOff>
      <xdr:row>21</xdr:row>
      <xdr:rowOff>28575</xdr:rowOff>
    </xdr:to>
    <xdr:grpSp>
      <xdr:nvGrpSpPr>
        <xdr:cNvPr id="36" name="Gruppieren 35"/>
        <xdr:cNvGrpSpPr/>
      </xdr:nvGrpSpPr>
      <xdr:grpSpPr>
        <a:xfrm>
          <a:off x="4229098" y="2781301"/>
          <a:ext cx="4572001" cy="647699"/>
          <a:chOff x="3943350" y="2724151"/>
          <a:chExt cx="3165232" cy="838200"/>
        </a:xfrm>
      </xdr:grpSpPr>
      <xdr:sp macro="" textlink="">
        <xdr:nvSpPr>
          <xdr:cNvPr id="12" name="Geschweifte Klammer rechts 11"/>
          <xdr:cNvSpPr/>
        </xdr:nvSpPr>
        <xdr:spPr>
          <a:xfrm>
            <a:off x="3943350" y="2990850"/>
            <a:ext cx="118697" cy="5715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sp macro="" textlink="">
        <xdr:nvSpPr>
          <xdr:cNvPr id="13" name="Textfeld 12"/>
          <xdr:cNvSpPr txBox="1"/>
        </xdr:nvSpPr>
        <xdr:spPr>
          <a:xfrm>
            <a:off x="4476698" y="2724151"/>
            <a:ext cx="2631884"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Wird automatisch berechnet. Bezieht</a:t>
            </a:r>
            <a:r>
              <a:rPr lang="de-CH" sz="1100" baseline="0"/>
              <a:t> sich auf den Zeitraum, welcher unter Anstellungszeitraum angegeben wurde.</a:t>
            </a:r>
            <a:endParaRPr lang="de-CH" sz="1100"/>
          </a:p>
        </xdr:txBody>
      </xdr:sp>
      <xdr:cxnSp macro="">
        <xdr:nvCxnSpPr>
          <xdr:cNvPr id="14" name="Gerader Verbinder 13"/>
          <xdr:cNvCxnSpPr>
            <a:stCxn id="13" idx="1"/>
            <a:endCxn id="12" idx="1"/>
          </xdr:cNvCxnSpPr>
        </xdr:nvCxnSpPr>
        <xdr:spPr>
          <a:xfrm flipH="1">
            <a:off x="4062047" y="3143252"/>
            <a:ext cx="414652" cy="133349"/>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447675</xdr:colOff>
      <xdr:row>13</xdr:row>
      <xdr:rowOff>1</xdr:rowOff>
    </xdr:from>
    <xdr:to>
      <xdr:col>11</xdr:col>
      <xdr:colOff>419100</xdr:colOff>
      <xdr:row>16</xdr:row>
      <xdr:rowOff>66675</xdr:rowOff>
    </xdr:to>
    <xdr:grpSp>
      <xdr:nvGrpSpPr>
        <xdr:cNvPr id="34" name="Gruppieren 33"/>
        <xdr:cNvGrpSpPr/>
      </xdr:nvGrpSpPr>
      <xdr:grpSpPr>
        <a:xfrm>
          <a:off x="4257675" y="2105026"/>
          <a:ext cx="4543425" cy="552449"/>
          <a:chOff x="3952875" y="2114551"/>
          <a:chExt cx="4543425" cy="552449"/>
        </a:xfrm>
      </xdr:grpSpPr>
      <xdr:sp macro="" textlink="">
        <xdr:nvSpPr>
          <xdr:cNvPr id="18" name="Geschweifte Klammer rechts 17"/>
          <xdr:cNvSpPr/>
        </xdr:nvSpPr>
        <xdr:spPr>
          <a:xfrm>
            <a:off x="3952875" y="2266950"/>
            <a:ext cx="15240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xnSp macro="">
        <xdr:nvCxnSpPr>
          <xdr:cNvPr id="19" name="Gerader Verbinder 18"/>
          <xdr:cNvCxnSpPr/>
        </xdr:nvCxnSpPr>
        <xdr:spPr>
          <a:xfrm flipH="1">
            <a:off x="4105275" y="2276475"/>
            <a:ext cx="581025" cy="190501"/>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0" name="Textfeld 19"/>
          <xdr:cNvSpPr txBox="1"/>
        </xdr:nvSpPr>
        <xdr:spPr>
          <a:xfrm>
            <a:off x="4686300" y="2114551"/>
            <a:ext cx="3810000"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Von wann bis wann wird der Vertrag ausgestellt.</a:t>
            </a:r>
          </a:p>
        </xdr:txBody>
      </xdr:sp>
    </xdr:grpSp>
    <xdr:clientData/>
  </xdr:twoCellAnchor>
  <xdr:twoCellAnchor>
    <xdr:from>
      <xdr:col>6</xdr:col>
      <xdr:colOff>419100</xdr:colOff>
      <xdr:row>29</xdr:row>
      <xdr:rowOff>0</xdr:rowOff>
    </xdr:from>
    <xdr:to>
      <xdr:col>11</xdr:col>
      <xdr:colOff>419100</xdr:colOff>
      <xdr:row>31</xdr:row>
      <xdr:rowOff>9525</xdr:rowOff>
    </xdr:to>
    <xdr:sp macro="" textlink="">
      <xdr:nvSpPr>
        <xdr:cNvPr id="21" name="Textfeld 20"/>
        <xdr:cNvSpPr txBox="1"/>
      </xdr:nvSpPr>
      <xdr:spPr>
        <a:xfrm>
          <a:off x="4991100" y="4695825"/>
          <a:ext cx="381000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Pensum, welches beantragt werden muss.</a:t>
          </a:r>
        </a:p>
      </xdr:txBody>
    </xdr:sp>
    <xdr:clientData/>
  </xdr:twoCellAnchor>
  <xdr:twoCellAnchor>
    <xdr:from>
      <xdr:col>5</xdr:col>
      <xdr:colOff>457200</xdr:colOff>
      <xdr:row>29</xdr:row>
      <xdr:rowOff>152402</xdr:rowOff>
    </xdr:from>
    <xdr:to>
      <xdr:col>6</xdr:col>
      <xdr:colOff>419100</xdr:colOff>
      <xdr:row>30</xdr:row>
      <xdr:rowOff>4763</xdr:rowOff>
    </xdr:to>
    <xdr:cxnSp macro="">
      <xdr:nvCxnSpPr>
        <xdr:cNvPr id="22" name="Gerader Verbinder 21"/>
        <xdr:cNvCxnSpPr>
          <a:stCxn id="21" idx="1"/>
        </xdr:cNvCxnSpPr>
      </xdr:nvCxnSpPr>
      <xdr:spPr>
        <a:xfrm flipH="1" flipV="1">
          <a:off x="4267200" y="4848227"/>
          <a:ext cx="723900" cy="142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419101</xdr:colOff>
      <xdr:row>16</xdr:row>
      <xdr:rowOff>0</xdr:rowOff>
    </xdr:from>
    <xdr:to>
      <xdr:col>6</xdr:col>
      <xdr:colOff>419100</xdr:colOff>
      <xdr:row>17</xdr:row>
      <xdr:rowOff>1</xdr:rowOff>
    </xdr:to>
    <xdr:cxnSp macro="">
      <xdr:nvCxnSpPr>
        <xdr:cNvPr id="26" name="Gerader Verbinder 25"/>
        <xdr:cNvCxnSpPr/>
      </xdr:nvCxnSpPr>
      <xdr:spPr>
        <a:xfrm flipH="1">
          <a:off x="4229101" y="2590800"/>
          <a:ext cx="761999" cy="161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15</xdr:row>
      <xdr:rowOff>0</xdr:rowOff>
    </xdr:from>
    <xdr:to>
      <xdr:col>11</xdr:col>
      <xdr:colOff>419100</xdr:colOff>
      <xdr:row>17</xdr:row>
      <xdr:rowOff>9525</xdr:rowOff>
    </xdr:to>
    <xdr:sp macro="" textlink="">
      <xdr:nvSpPr>
        <xdr:cNvPr id="28" name="Textfeld 27"/>
        <xdr:cNvSpPr txBox="1"/>
      </xdr:nvSpPr>
      <xdr:spPr>
        <a:xfrm>
          <a:off x="4991100" y="2428875"/>
          <a:ext cx="381000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Wird taggenau</a:t>
          </a:r>
          <a:r>
            <a:rPr lang="de-CH" sz="1100" baseline="0"/>
            <a:t> berechnet.</a:t>
          </a:r>
          <a:endParaRPr lang="de-CH" sz="1100"/>
        </a:p>
      </xdr:txBody>
    </xdr:sp>
    <xdr:clientData/>
  </xdr:twoCellAnchor>
  <xdr:twoCellAnchor>
    <xdr:from>
      <xdr:col>5</xdr:col>
      <xdr:colOff>438150</xdr:colOff>
      <xdr:row>21</xdr:row>
      <xdr:rowOff>142876</xdr:rowOff>
    </xdr:from>
    <xdr:to>
      <xdr:col>6</xdr:col>
      <xdr:colOff>419100</xdr:colOff>
      <xdr:row>24</xdr:row>
      <xdr:rowOff>114299</xdr:rowOff>
    </xdr:to>
    <xdr:cxnSp macro="">
      <xdr:nvCxnSpPr>
        <xdr:cNvPr id="29" name="Gerader Verbinder 28"/>
        <xdr:cNvCxnSpPr>
          <a:stCxn id="30" idx="1"/>
        </xdr:cNvCxnSpPr>
      </xdr:nvCxnSpPr>
      <xdr:spPr>
        <a:xfrm flipH="1" flipV="1">
          <a:off x="4248150" y="3543301"/>
          <a:ext cx="742950" cy="4571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21</xdr:row>
      <xdr:rowOff>66673</xdr:rowOff>
    </xdr:from>
    <xdr:to>
      <xdr:col>11</xdr:col>
      <xdr:colOff>419100</xdr:colOff>
      <xdr:row>28</xdr:row>
      <xdr:rowOff>0</xdr:rowOff>
    </xdr:to>
    <xdr:sp macro="" textlink="">
      <xdr:nvSpPr>
        <xdr:cNvPr id="30" name="Textfeld 29"/>
        <xdr:cNvSpPr txBox="1"/>
      </xdr:nvSpPr>
      <xdr:spPr>
        <a:xfrm>
          <a:off x="4991100" y="3467098"/>
          <a:ext cx="3810000" cy="1066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Wird</a:t>
          </a:r>
          <a:r>
            <a:rPr lang="de-CH" sz="1100" baseline="0"/>
            <a:t> automatisch ergänzt mithilfe der untenstehenden Tabelle.</a:t>
          </a:r>
        </a:p>
        <a:p>
          <a:r>
            <a:rPr lang="de-CH" sz="1100" i="1">
              <a:solidFill>
                <a:schemeClr val="dk1"/>
              </a:solidFill>
              <a:effectLst/>
              <a:latin typeface="+mn-lt"/>
              <a:ea typeface="+mn-ea"/>
              <a:cs typeface="+mn-cs"/>
            </a:rPr>
            <a:t>Der Ferienanspruch beträgt 25 Arbeitstage pro Kalenderjahr. Er erhöht sich im Kalenderjahr, in welchem das 50. Altersjahr vollendet wird, auf 27 Arbeitstage und im Kalenderjahr, in dem das 60. Altersjahr vollendet wird, auf 30 Arbeitstage.</a:t>
          </a:r>
          <a:endParaRPr lang="de-CH" sz="1100"/>
        </a:p>
      </xdr:txBody>
    </xdr:sp>
    <xdr:clientData/>
  </xdr:twoCellAnchor>
  <xdr:twoCellAnchor>
    <xdr:from>
      <xdr:col>5</xdr:col>
      <xdr:colOff>438150</xdr:colOff>
      <xdr:row>9</xdr:row>
      <xdr:rowOff>0</xdr:rowOff>
    </xdr:from>
    <xdr:to>
      <xdr:col>11</xdr:col>
      <xdr:colOff>419100</xdr:colOff>
      <xdr:row>12</xdr:row>
      <xdr:rowOff>133350</xdr:rowOff>
    </xdr:to>
    <xdr:grpSp>
      <xdr:nvGrpSpPr>
        <xdr:cNvPr id="33" name="Gruppieren 32"/>
        <xdr:cNvGrpSpPr/>
      </xdr:nvGrpSpPr>
      <xdr:grpSpPr>
        <a:xfrm>
          <a:off x="4248150" y="1457325"/>
          <a:ext cx="4552950" cy="619125"/>
          <a:chOff x="3829050" y="1457325"/>
          <a:chExt cx="4552950" cy="619125"/>
        </a:xfrm>
      </xdr:grpSpPr>
      <xdr:sp macro="" textlink="">
        <xdr:nvSpPr>
          <xdr:cNvPr id="23" name="Textfeld 22"/>
          <xdr:cNvSpPr txBox="1"/>
        </xdr:nvSpPr>
        <xdr:spPr>
          <a:xfrm>
            <a:off x="4572000" y="1457325"/>
            <a:ext cx="381000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Für die Eingabe kann zwischen</a:t>
            </a:r>
            <a:r>
              <a:rPr lang="de-CH" sz="1100" baseline="0"/>
              <a:t> "genutzten Lektionen aus dem Pool" und "geplante Stunden" </a:t>
            </a:r>
            <a:r>
              <a:rPr lang="de-CH" sz="1100">
                <a:solidFill>
                  <a:schemeClr val="dk1"/>
                </a:solidFill>
                <a:effectLst/>
                <a:latin typeface="+mn-lt"/>
                <a:ea typeface="+mn-ea"/>
                <a:cs typeface="+mn-cs"/>
              </a:rPr>
              <a:t>ausgewählt werden </a:t>
            </a:r>
            <a:r>
              <a:rPr lang="de-CH" sz="1100" baseline="0"/>
              <a:t>. Die nicht gewählte grösse wird automatisch berechnet und angezeigt.</a:t>
            </a:r>
            <a:endParaRPr lang="de-CH" sz="1100"/>
          </a:p>
        </xdr:txBody>
      </xdr:sp>
      <xdr:cxnSp macro="">
        <xdr:nvCxnSpPr>
          <xdr:cNvPr id="24" name="Gerader Verbinder 23"/>
          <xdr:cNvCxnSpPr>
            <a:stCxn id="23" idx="1"/>
            <a:endCxn id="31" idx="1"/>
          </xdr:cNvCxnSpPr>
        </xdr:nvCxnSpPr>
        <xdr:spPr>
          <a:xfrm flipH="1">
            <a:off x="3981450" y="1766888"/>
            <a:ext cx="590550" cy="109537"/>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1" name="Geschweifte Klammer rechts 30"/>
          <xdr:cNvSpPr/>
        </xdr:nvSpPr>
        <xdr:spPr>
          <a:xfrm>
            <a:off x="3829050" y="1676400"/>
            <a:ext cx="15240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grpSp>
    <xdr:clientData/>
  </xdr:twoCellAnchor>
  <xdr:twoCellAnchor editAs="oneCell">
    <xdr:from>
      <xdr:col>0</xdr:col>
      <xdr:colOff>57150</xdr:colOff>
      <xdr:row>0</xdr:row>
      <xdr:rowOff>66675</xdr:rowOff>
    </xdr:from>
    <xdr:to>
      <xdr:col>5</xdr:col>
      <xdr:colOff>419100</xdr:colOff>
      <xdr:row>41</xdr:row>
      <xdr:rowOff>28575</xdr:rowOff>
    </xdr:to>
    <xdr:pic>
      <xdr:nvPicPr>
        <xdr:cNvPr id="32" name="Grafik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4171950" cy="660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206994\AppData\Local\Microsoft\Windows\INetCache\Content.Outlook\C9001F1E\Vertragsbestellungen_Schulen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_DropDown"/>
      <sheetName val="Dokumentation"/>
      <sheetName val="Grunddaten"/>
      <sheetName val="Anstellung KigaPrim"/>
      <sheetName val="Externe Stv. KigaPrim"/>
      <sheetName val="Anstellung MS"/>
      <sheetName val="Externe Stv. MS"/>
      <sheetName val="UP Vertragsaenderung"/>
      <sheetName val="Anstellung TSM"/>
      <sheetName val="Externe Stv. TSM"/>
      <sheetName val="Anstellung BFS"/>
      <sheetName val="VP Anstellung"/>
      <sheetName val="VP Vertragsaenderung"/>
      <sheetName val="VP Zusätzlicher Vertrag"/>
      <sheetName val="Pensenberechnung"/>
      <sheetName val="Ferienplan Pensenberechnung"/>
      <sheetName val="Lohnrechner"/>
      <sheetName val="Lohnberechnung"/>
      <sheetName val="Wechsel max. 1 LB"/>
      <sheetName val="Wechsel anspruchsvollere Fkt."/>
      <sheetName val="Wechsel gleiche Ausb. Anf."/>
      <sheetName val="LohntabelleM"/>
      <sheetName val="Druckeinstellungen"/>
      <sheetName val="A1-Texte"/>
      <sheetName val="MU-Daten"/>
      <sheetName val="Bewertungstabelle"/>
      <sheetName val="LohntabelleJ"/>
    </sheetNames>
    <sheetDataSet>
      <sheetData sheetId="0"/>
      <sheetData sheetId="1"/>
      <sheetData sheetId="2">
        <row r="19">
          <cell r="E19">
            <v>32874</v>
          </cell>
        </row>
      </sheetData>
      <sheetData sheetId="3"/>
      <sheetData sheetId="4"/>
      <sheetData sheetId="5"/>
      <sheetData sheetId="6"/>
      <sheetData sheetId="7"/>
      <sheetData sheetId="8"/>
      <sheetData sheetId="9"/>
      <sheetData sheetId="10"/>
      <sheetData sheetId="11"/>
      <sheetData sheetId="12"/>
      <sheetData sheetId="13"/>
      <sheetData sheetId="14">
        <row r="15">
          <cell r="H15">
            <v>42</v>
          </cell>
          <cell r="O15">
            <v>32</v>
          </cell>
        </row>
        <row r="17">
          <cell r="G17">
            <v>44562</v>
          </cell>
          <cell r="J17">
            <v>44926</v>
          </cell>
        </row>
      </sheetData>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J34"/>
  <sheetViews>
    <sheetView tabSelected="1" zoomScaleNormal="100" workbookViewId="0">
      <selection activeCell="D4" sqref="D4"/>
    </sheetView>
  </sheetViews>
  <sheetFormatPr baseColWidth="10" defaultColWidth="11.42578125" defaultRowHeight="15" x14ac:dyDescent="0.2"/>
  <cols>
    <col min="1" max="1" width="2.85546875" style="1" customWidth="1"/>
    <col min="2" max="2" width="31.7109375" style="1" customWidth="1"/>
    <col min="3" max="3" width="7.140625" style="1" bestFit="1" customWidth="1"/>
    <col min="4" max="4" width="23.5703125" style="1" customWidth="1"/>
    <col min="5" max="5" width="3.85546875" style="1" customWidth="1"/>
    <col min="6" max="7" width="7.140625" style="1" customWidth="1"/>
    <col min="8" max="8" width="9" style="1" customWidth="1"/>
    <col min="9" max="9" width="12.7109375" style="1" bestFit="1" customWidth="1"/>
    <col min="10" max="10" width="11.42578125" style="1"/>
    <col min="11" max="11" width="31.28515625" style="1" bestFit="1" customWidth="1"/>
    <col min="12" max="15" width="16.140625" style="1" customWidth="1"/>
    <col min="16" max="16384" width="11.42578125" style="1"/>
  </cols>
  <sheetData>
    <row r="1" spans="2:10" ht="15.75" x14ac:dyDescent="0.25">
      <c r="J1" s="22"/>
    </row>
    <row r="2" spans="2:10" ht="18.75" x14ac:dyDescent="0.3">
      <c r="B2" s="93" t="s">
        <v>80</v>
      </c>
      <c r="C2" s="94"/>
      <c r="D2" s="95"/>
      <c r="F2" s="25"/>
      <c r="G2" s="1" t="s">
        <v>46</v>
      </c>
    </row>
    <row r="3" spans="2:10" ht="15.75" x14ac:dyDescent="0.25">
      <c r="B3" s="31" t="s">
        <v>31</v>
      </c>
      <c r="C3" s="32"/>
      <c r="D3" s="33"/>
    </row>
    <row r="4" spans="2:10" x14ac:dyDescent="0.2">
      <c r="B4" s="34" t="s">
        <v>1</v>
      </c>
      <c r="C4" s="29"/>
      <c r="D4" s="47"/>
      <c r="I4" s="2"/>
    </row>
    <row r="5" spans="2:10" x14ac:dyDescent="0.2">
      <c r="B5" s="34" t="s">
        <v>0</v>
      </c>
      <c r="C5" s="29"/>
      <c r="D5" s="47"/>
    </row>
    <row r="6" spans="2:10" x14ac:dyDescent="0.2">
      <c r="B6" s="34" t="s">
        <v>2</v>
      </c>
      <c r="C6" s="29"/>
      <c r="D6" s="47"/>
    </row>
    <row r="7" spans="2:10" x14ac:dyDescent="0.2">
      <c r="B7" s="34" t="s">
        <v>3</v>
      </c>
      <c r="C7" s="29"/>
      <c r="D7" s="35"/>
    </row>
    <row r="8" spans="2:10" x14ac:dyDescent="0.2">
      <c r="B8" s="34" t="s">
        <v>10</v>
      </c>
      <c r="C8" s="29"/>
      <c r="D8" s="36" t="str">
        <f ca="1">IF(D7="","",DATEDIF(D7,TODAY(),"y"))</f>
        <v/>
      </c>
    </row>
    <row r="9" spans="2:10" ht="15.75" x14ac:dyDescent="0.25">
      <c r="B9" s="31" t="s">
        <v>38</v>
      </c>
      <c r="C9" s="32"/>
      <c r="D9" s="33"/>
    </row>
    <row r="10" spans="2:10" x14ac:dyDescent="0.2">
      <c r="B10" s="37" t="s">
        <v>47</v>
      </c>
      <c r="C10" s="30"/>
      <c r="D10" s="38"/>
      <c r="H10" s="2"/>
      <c r="I10" s="2"/>
      <c r="J10" s="24"/>
    </row>
    <row r="11" spans="2:10" x14ac:dyDescent="0.2">
      <c r="B11" s="39" t="str">
        <f>IF(B10="Geplante Stunden:","Genutzte Lektionen aus Pool:","Geplante Stunden:")</f>
        <v>Genutzte Lektionen aus Pool:</v>
      </c>
      <c r="C11" s="28"/>
      <c r="D11" s="26" t="str">
        <f>IF(D10="","",IF(B11="Genutzte Lektionen aus Pool:",D10/1.5,D10*1.5))</f>
        <v/>
      </c>
      <c r="G11" s="2"/>
    </row>
    <row r="12" spans="2:10" x14ac:dyDescent="0.2">
      <c r="B12" s="39"/>
      <c r="C12" s="28"/>
      <c r="D12" s="40"/>
    </row>
    <row r="13" spans="2:10" x14ac:dyDescent="0.2">
      <c r="B13" s="96" t="s">
        <v>43</v>
      </c>
      <c r="C13" s="30" t="s">
        <v>32</v>
      </c>
      <c r="D13" s="35"/>
      <c r="F13" s="23"/>
    </row>
    <row r="14" spans="2:10" ht="15.75" x14ac:dyDescent="0.25">
      <c r="B14" s="97"/>
      <c r="C14" s="28" t="s">
        <v>33</v>
      </c>
      <c r="D14" s="35"/>
      <c r="E14" s="3"/>
    </row>
    <row r="15" spans="2:10" x14ac:dyDescent="0.2">
      <c r="B15" s="39" t="s">
        <v>4</v>
      </c>
      <c r="C15" s="28"/>
      <c r="D15" s="48" t="str">
        <f>IF(OR(D13="",D14=""),"",((YEAR(D14)-YEAR(D13))*12+MONTH(D14)-MONTH(D13)+1)-(DAY(D13)-1)/DAY(EOMONTH(D13,0))-(DAY(EOMONTH(D14,0))-DAY(D14))/DAY(EOMONTH(D14,0)))</f>
        <v/>
      </c>
    </row>
    <row r="16" spans="2:10" ht="15.75" x14ac:dyDescent="0.25">
      <c r="B16" s="31" t="s">
        <v>39</v>
      </c>
      <c r="C16" s="32"/>
      <c r="D16" s="33"/>
    </row>
    <row r="17" spans="2:5" x14ac:dyDescent="0.2">
      <c r="B17" s="90" t="s">
        <v>36</v>
      </c>
      <c r="C17" s="90"/>
      <c r="D17" s="27">
        <f>+'Ferienplan Pensenberechnung'!M11/7</f>
        <v>0</v>
      </c>
    </row>
    <row r="18" spans="2:5" x14ac:dyDescent="0.2">
      <c r="B18" s="90" t="s">
        <v>45</v>
      </c>
      <c r="C18" s="90"/>
      <c r="D18" s="27">
        <f>+'Ferienplan Pensenberechnung'!M17/7</f>
        <v>0</v>
      </c>
    </row>
    <row r="19" spans="2:5" ht="15.75" x14ac:dyDescent="0.25">
      <c r="B19" s="90" t="s">
        <v>42</v>
      </c>
      <c r="C19" s="90"/>
      <c r="D19" s="85" t="str">
        <f>IF(OR(D7="",D13=""),"",VLOOKUP(DATEDIF(D7,DATE(YEAR(D13),1,1),"y"),B32:D34,3,1))</f>
        <v/>
      </c>
      <c r="E19" s="3"/>
    </row>
    <row r="20" spans="2:5" ht="15.75" x14ac:dyDescent="0.25">
      <c r="B20" s="31" t="s">
        <v>40</v>
      </c>
      <c r="C20" s="32"/>
      <c r="D20" s="33"/>
    </row>
    <row r="21" spans="2:5" x14ac:dyDescent="0.2">
      <c r="B21" s="98" t="s">
        <v>34</v>
      </c>
      <c r="C21" s="99"/>
      <c r="D21" s="27">
        <f>+'Ferienplan Pensenberechnung'!M14*0.714285714285714</f>
        <v>0</v>
      </c>
    </row>
    <row r="22" spans="2:5" x14ac:dyDescent="0.2">
      <c r="B22" s="98" t="s">
        <v>35</v>
      </c>
      <c r="C22" s="99"/>
      <c r="D22" s="27">
        <f>IF(D21="","",D21/5)</f>
        <v>0</v>
      </c>
    </row>
    <row r="23" spans="2:5" ht="30" customHeight="1" x14ac:dyDescent="0.2">
      <c r="B23" s="98" t="s">
        <v>5</v>
      </c>
      <c r="C23" s="99"/>
      <c r="D23" s="27">
        <f>IFERROR(D17-D22,"")</f>
        <v>0</v>
      </c>
    </row>
    <row r="24" spans="2:5" x14ac:dyDescent="0.2">
      <c r="B24" s="91" t="s">
        <v>6</v>
      </c>
      <c r="C24" s="92"/>
      <c r="D24" s="27">
        <f>IF(D23=0,0,IF(D23="","",VLOOKUP("Geplante Stunden:",B10:D11,3,0)*D18/D23))</f>
        <v>0</v>
      </c>
    </row>
    <row r="25" spans="2:5" x14ac:dyDescent="0.2">
      <c r="B25" s="91" t="s">
        <v>7</v>
      </c>
      <c r="C25" s="92"/>
      <c r="D25" s="27">
        <f>IF(D24="","",ROUND((D24/5)*20,0)/20)</f>
        <v>0</v>
      </c>
    </row>
    <row r="26" spans="2:5" ht="15.75" x14ac:dyDescent="0.25">
      <c r="B26" s="41" t="s">
        <v>41</v>
      </c>
      <c r="C26" s="42"/>
      <c r="D26" s="43">
        <f>IF(D24="","",D24/42*100)</f>
        <v>0</v>
      </c>
    </row>
    <row r="28" spans="2:5" x14ac:dyDescent="0.2">
      <c r="B28" s="21" t="s">
        <v>37</v>
      </c>
      <c r="C28" s="44"/>
      <c r="D28" s="44"/>
    </row>
    <row r="29" spans="2:5" ht="15" customHeight="1" x14ac:dyDescent="0.2">
      <c r="B29" s="21" t="s">
        <v>44</v>
      </c>
      <c r="C29" s="44"/>
      <c r="D29" s="44"/>
    </row>
    <row r="30" spans="2:5" x14ac:dyDescent="0.2">
      <c r="B30" s="86" t="s">
        <v>8</v>
      </c>
      <c r="C30" s="87"/>
      <c r="D30" s="88" t="s">
        <v>9</v>
      </c>
    </row>
    <row r="31" spans="2:5" x14ac:dyDescent="0.2">
      <c r="B31" s="45" t="s">
        <v>11</v>
      </c>
      <c r="C31" s="45" t="s">
        <v>12</v>
      </c>
      <c r="D31" s="89"/>
    </row>
    <row r="32" spans="2:5" x14ac:dyDescent="0.2">
      <c r="B32" s="46">
        <v>0</v>
      </c>
      <c r="C32" s="46">
        <v>49</v>
      </c>
      <c r="D32" s="46">
        <v>25</v>
      </c>
    </row>
    <row r="33" spans="2:4" x14ac:dyDescent="0.2">
      <c r="B33" s="46">
        <v>50</v>
      </c>
      <c r="C33" s="46">
        <v>59</v>
      </c>
      <c r="D33" s="46">
        <v>27</v>
      </c>
    </row>
    <row r="34" spans="2:4" x14ac:dyDescent="0.2">
      <c r="B34" s="46">
        <v>60</v>
      </c>
      <c r="C34" s="46">
        <v>65</v>
      </c>
      <c r="D34" s="46">
        <v>30</v>
      </c>
    </row>
  </sheetData>
  <sheetProtection sheet="1" objects="1" scenarios="1"/>
  <mergeCells count="12">
    <mergeCell ref="B2:D2"/>
    <mergeCell ref="B13:B14"/>
    <mergeCell ref="B21:C21"/>
    <mergeCell ref="B22:C22"/>
    <mergeCell ref="B23:C23"/>
    <mergeCell ref="B30:C30"/>
    <mergeCell ref="D30:D31"/>
    <mergeCell ref="B17:C17"/>
    <mergeCell ref="B18:C18"/>
    <mergeCell ref="B19:C19"/>
    <mergeCell ref="B25:C25"/>
    <mergeCell ref="B24:C24"/>
  </mergeCells>
  <phoneticPr fontId="2" type="noConversion"/>
  <dataValidations count="1">
    <dataValidation type="list" allowBlank="1" showInputMessage="1" showErrorMessage="1" sqref="B10">
      <formula1>"Genutzte Lektionen aus Pool:,Geplante Stunden:"</formula1>
    </dataValidation>
  </dataValidations>
  <pageMargins left="0.37" right="0.39" top="1.15625" bottom="0.984251969" header="0.4921259845" footer="0.4921259845"/>
  <pageSetup paperSize="9" orientation="portrait"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M35"/>
  <sheetViews>
    <sheetView topLeftCell="B1" workbookViewId="0">
      <selection activeCell="H23" sqref="A1:XFD1048576"/>
    </sheetView>
  </sheetViews>
  <sheetFormatPr baseColWidth="10" defaultColWidth="11.5703125" defaultRowHeight="12.75" x14ac:dyDescent="0.2"/>
  <cols>
    <col min="1" max="1" width="11.5703125" style="49"/>
    <col min="2" max="3" width="13.85546875" style="49" customWidth="1"/>
    <col min="4" max="5" width="13.7109375" style="55" bestFit="1" customWidth="1"/>
    <col min="6" max="6" width="18.28515625" style="49" bestFit="1" customWidth="1"/>
    <col min="7" max="7" width="11.5703125" style="49"/>
    <col min="8" max="8" width="12.85546875" style="49" customWidth="1"/>
    <col min="9" max="11" width="9.140625" style="49" customWidth="1"/>
    <col min="12" max="12" width="10.140625" style="49" customWidth="1"/>
    <col min="13" max="13" width="11.5703125" style="53"/>
    <col min="14" max="16384" width="11.5703125" style="49"/>
  </cols>
  <sheetData>
    <row r="2" spans="1:13" x14ac:dyDescent="0.2">
      <c r="B2" s="50" t="s">
        <v>49</v>
      </c>
      <c r="C2" s="82">
        <f>+'Umrechnung Stunden-Pensen SoPä'!D13</f>
        <v>0</v>
      </c>
      <c r="D2" s="52" t="s">
        <v>50</v>
      </c>
      <c r="E2" s="82">
        <f>+'Umrechnung Stunden-Pensen SoPä'!D14</f>
        <v>0</v>
      </c>
    </row>
    <row r="3" spans="1:13" x14ac:dyDescent="0.2">
      <c r="C3" s="54"/>
    </row>
    <row r="4" spans="1:13" ht="38.25" x14ac:dyDescent="0.2">
      <c r="A4" s="56" t="s">
        <v>51</v>
      </c>
      <c r="B4" s="56" t="s">
        <v>52</v>
      </c>
      <c r="C4" s="56" t="s">
        <v>53</v>
      </c>
      <c r="D4" s="56" t="s">
        <v>54</v>
      </c>
      <c r="E4" s="56" t="s">
        <v>55</v>
      </c>
      <c r="F4" s="56" t="s">
        <v>56</v>
      </c>
      <c r="G4" s="80"/>
      <c r="H4" s="80"/>
      <c r="I4" s="80"/>
      <c r="J4" s="80"/>
      <c r="K4" s="80"/>
      <c r="L4" s="80"/>
      <c r="M4" s="49"/>
    </row>
    <row r="5" spans="1:13" x14ac:dyDescent="0.2">
      <c r="A5" s="100" t="s">
        <v>57</v>
      </c>
      <c r="B5" s="57">
        <v>44382</v>
      </c>
      <c r="C5" s="57">
        <v>44424</v>
      </c>
      <c r="D5" s="83">
        <f>IFERROR(MAX(MIN(_xlfn.DAYS(C5,$C$2),_xlfn.DAYS(C5,B5)),0),"")</f>
        <v>42</v>
      </c>
      <c r="E5" s="83">
        <f>IFERROR(MIN(MAX(_xlfn.DAYS(C5,$E$2),0),_xlfn.DAYS(C5,B5)),"")</f>
        <v>42</v>
      </c>
      <c r="F5" s="58">
        <f>IFERROR(D5-E5,"")</f>
        <v>0</v>
      </c>
      <c r="G5" s="80"/>
      <c r="H5" s="80"/>
      <c r="I5" s="80"/>
      <c r="J5" s="80"/>
      <c r="K5" s="80"/>
      <c r="L5" s="80"/>
      <c r="M5" s="49"/>
    </row>
    <row r="6" spans="1:13" x14ac:dyDescent="0.2">
      <c r="A6" s="100"/>
      <c r="B6" s="51">
        <v>44473</v>
      </c>
      <c r="C6" s="51">
        <v>44487</v>
      </c>
      <c r="D6" s="83">
        <f t="shared" ref="D6:D35" si="0">IFERROR(MAX(MIN(_xlfn.DAYS(C6,$C$2),_xlfn.DAYS(C6,B6)),0),"")</f>
        <v>14</v>
      </c>
      <c r="E6" s="83">
        <f t="shared" ref="E6:E35" si="1">IFERROR(MIN(MAX(_xlfn.DAYS(C6,$E$2),0),_xlfn.DAYS(C6,B6)),"")</f>
        <v>14</v>
      </c>
      <c r="F6" s="58">
        <f t="shared" ref="F6:F35" si="2">IFERROR(D6-E6,"")</f>
        <v>0</v>
      </c>
      <c r="G6" s="80"/>
      <c r="H6" s="80"/>
      <c r="I6" s="80"/>
      <c r="J6" s="80"/>
      <c r="K6" s="80"/>
      <c r="L6" s="80"/>
      <c r="M6" s="49"/>
    </row>
    <row r="7" spans="1:13" x14ac:dyDescent="0.2">
      <c r="A7" s="100"/>
      <c r="B7" s="51">
        <v>44550</v>
      </c>
      <c r="C7" s="51">
        <v>44564</v>
      </c>
      <c r="D7" s="83">
        <f t="shared" si="0"/>
        <v>14</v>
      </c>
      <c r="E7" s="83">
        <f t="shared" si="1"/>
        <v>14</v>
      </c>
      <c r="F7" s="58">
        <f t="shared" si="2"/>
        <v>0</v>
      </c>
      <c r="G7" s="80"/>
      <c r="H7" s="80"/>
      <c r="I7" s="80"/>
      <c r="J7" s="80"/>
      <c r="K7" s="80"/>
      <c r="L7" s="80"/>
    </row>
    <row r="8" spans="1:13" x14ac:dyDescent="0.2">
      <c r="A8" s="100"/>
      <c r="B8" s="51">
        <v>44620</v>
      </c>
      <c r="C8" s="51">
        <v>44634</v>
      </c>
      <c r="D8" s="83">
        <f t="shared" si="0"/>
        <v>14</v>
      </c>
      <c r="E8" s="83">
        <f t="shared" si="1"/>
        <v>14</v>
      </c>
      <c r="F8" s="58">
        <f t="shared" si="2"/>
        <v>0</v>
      </c>
      <c r="H8" s="59"/>
      <c r="I8" s="60"/>
      <c r="J8" s="60"/>
      <c r="K8" s="60"/>
      <c r="L8" s="60"/>
      <c r="M8" s="61"/>
    </row>
    <row r="9" spans="1:13" x14ac:dyDescent="0.2">
      <c r="A9" s="100"/>
      <c r="B9" s="51">
        <v>44662</v>
      </c>
      <c r="C9" s="51">
        <v>44676</v>
      </c>
      <c r="D9" s="83">
        <f t="shared" si="0"/>
        <v>14</v>
      </c>
      <c r="E9" s="83">
        <f t="shared" si="1"/>
        <v>14</v>
      </c>
      <c r="F9" s="58">
        <f t="shared" si="2"/>
        <v>0</v>
      </c>
      <c r="H9" s="62" t="s">
        <v>58</v>
      </c>
      <c r="I9" s="63"/>
      <c r="J9" s="101" t="s">
        <v>79</v>
      </c>
      <c r="K9" s="101"/>
      <c r="L9" s="101"/>
      <c r="M9" s="102"/>
    </row>
    <row r="10" spans="1:13" x14ac:dyDescent="0.2">
      <c r="A10" s="100"/>
      <c r="B10" s="51">
        <v>44746</v>
      </c>
      <c r="C10" s="51">
        <v>44788</v>
      </c>
      <c r="D10" s="83">
        <f t="shared" si="0"/>
        <v>42</v>
      </c>
      <c r="E10" s="83">
        <f t="shared" si="1"/>
        <v>42</v>
      </c>
      <c r="F10" s="58">
        <f t="shared" si="2"/>
        <v>0</v>
      </c>
      <c r="H10" s="64"/>
      <c r="I10" s="63"/>
      <c r="J10" s="63"/>
      <c r="K10" s="63"/>
      <c r="L10" s="63"/>
      <c r="M10" s="65"/>
    </row>
    <row r="11" spans="1:13" x14ac:dyDescent="0.2">
      <c r="A11" s="100" t="s">
        <v>59</v>
      </c>
      <c r="B11" s="51">
        <v>44837</v>
      </c>
      <c r="C11" s="51">
        <v>44851</v>
      </c>
      <c r="D11" s="83">
        <f t="shared" si="0"/>
        <v>14</v>
      </c>
      <c r="E11" s="83">
        <f t="shared" si="1"/>
        <v>14</v>
      </c>
      <c r="F11" s="58">
        <f t="shared" si="2"/>
        <v>0</v>
      </c>
      <c r="H11" s="64" t="s">
        <v>60</v>
      </c>
      <c r="I11" s="63"/>
      <c r="J11" s="63"/>
      <c r="K11" s="63"/>
      <c r="L11" s="63"/>
      <c r="M11" s="66">
        <f>IFERROR(IF(E2=C2,0,_xlfn.DAYS(E2,C2)+1),0)</f>
        <v>0</v>
      </c>
    </row>
    <row r="12" spans="1:13" x14ac:dyDescent="0.2">
      <c r="A12" s="100"/>
      <c r="B12" s="51">
        <v>44921</v>
      </c>
      <c r="C12" s="51">
        <v>44935</v>
      </c>
      <c r="D12" s="83">
        <f t="shared" si="0"/>
        <v>14</v>
      </c>
      <c r="E12" s="83">
        <f t="shared" si="1"/>
        <v>14</v>
      </c>
      <c r="F12" s="58">
        <f t="shared" si="2"/>
        <v>0</v>
      </c>
      <c r="H12" s="64" t="s">
        <v>61</v>
      </c>
      <c r="I12" s="63"/>
      <c r="J12" s="63"/>
      <c r="K12" s="63"/>
      <c r="L12" s="63"/>
      <c r="M12" s="67">
        <f>SUM(F6:F39)</f>
        <v>0</v>
      </c>
    </row>
    <row r="13" spans="1:13" x14ac:dyDescent="0.2">
      <c r="A13" s="100"/>
      <c r="B13" s="51">
        <v>44977</v>
      </c>
      <c r="C13" s="51">
        <v>44991</v>
      </c>
      <c r="D13" s="83">
        <f t="shared" si="0"/>
        <v>14</v>
      </c>
      <c r="E13" s="83">
        <f t="shared" si="1"/>
        <v>14</v>
      </c>
      <c r="F13" s="58">
        <f t="shared" si="2"/>
        <v>0</v>
      </c>
      <c r="H13" s="64" t="s">
        <v>62</v>
      </c>
      <c r="I13" s="63"/>
      <c r="J13" s="63"/>
      <c r="K13" s="63"/>
      <c r="L13" s="63"/>
      <c r="M13" s="81" t="str">
        <f>+'Umrechnung Stunden-Pensen SoPä'!D19</f>
        <v/>
      </c>
    </row>
    <row r="14" spans="1:13" x14ac:dyDescent="0.2">
      <c r="A14" s="100"/>
      <c r="B14" s="51">
        <v>45019</v>
      </c>
      <c r="C14" s="51">
        <v>45033</v>
      </c>
      <c r="D14" s="83">
        <f t="shared" si="0"/>
        <v>14</v>
      </c>
      <c r="E14" s="83">
        <f t="shared" si="1"/>
        <v>14</v>
      </c>
      <c r="F14" s="58">
        <f t="shared" si="2"/>
        <v>0</v>
      </c>
      <c r="H14" s="64" t="s">
        <v>63</v>
      </c>
      <c r="I14" s="63"/>
      <c r="J14" s="63"/>
      <c r="K14" s="63"/>
      <c r="L14" s="63"/>
      <c r="M14" s="81">
        <f>IFERROR(M11/365*M13*7/5,0)</f>
        <v>0</v>
      </c>
    </row>
    <row r="15" spans="1:13" x14ac:dyDescent="0.2">
      <c r="A15" s="100"/>
      <c r="B15" s="51">
        <v>45110</v>
      </c>
      <c r="C15" s="51">
        <v>45152</v>
      </c>
      <c r="D15" s="83">
        <f t="shared" si="0"/>
        <v>42</v>
      </c>
      <c r="E15" s="83">
        <f t="shared" si="1"/>
        <v>42</v>
      </c>
      <c r="F15" s="58">
        <f t="shared" si="2"/>
        <v>0</v>
      </c>
      <c r="H15" s="64" t="s">
        <v>64</v>
      </c>
      <c r="I15" s="63"/>
      <c r="J15" s="63"/>
      <c r="K15" s="63"/>
      <c r="L15" s="63"/>
      <c r="M15" s="67">
        <f>IFERROR(M11-M14,0)</f>
        <v>0</v>
      </c>
    </row>
    <row r="16" spans="1:13" x14ac:dyDescent="0.2">
      <c r="A16" s="100" t="s">
        <v>65</v>
      </c>
      <c r="B16" s="51">
        <v>45201</v>
      </c>
      <c r="C16" s="51">
        <v>45215</v>
      </c>
      <c r="D16" s="83">
        <f t="shared" si="0"/>
        <v>14</v>
      </c>
      <c r="E16" s="83">
        <f t="shared" si="1"/>
        <v>14</v>
      </c>
      <c r="F16" s="58">
        <f t="shared" si="2"/>
        <v>0</v>
      </c>
      <c r="H16" s="64"/>
      <c r="I16" s="63"/>
      <c r="J16" s="63"/>
      <c r="K16" s="63"/>
      <c r="L16" s="63"/>
      <c r="M16" s="67"/>
    </row>
    <row r="17" spans="1:13" x14ac:dyDescent="0.2">
      <c r="A17" s="100"/>
      <c r="B17" s="51">
        <v>45285</v>
      </c>
      <c r="C17" s="51">
        <v>45299</v>
      </c>
      <c r="D17" s="83">
        <f t="shared" si="0"/>
        <v>14</v>
      </c>
      <c r="E17" s="83">
        <f t="shared" si="1"/>
        <v>14</v>
      </c>
      <c r="F17" s="58">
        <f t="shared" si="2"/>
        <v>0</v>
      </c>
      <c r="H17" s="64" t="s">
        <v>66</v>
      </c>
      <c r="I17" s="63"/>
      <c r="J17" s="63"/>
      <c r="K17" s="63"/>
      <c r="L17" s="63"/>
      <c r="M17" s="67">
        <f>M11-M12</f>
        <v>0</v>
      </c>
    </row>
    <row r="18" spans="1:13" x14ac:dyDescent="0.2">
      <c r="A18" s="100"/>
      <c r="B18" s="51">
        <v>45334</v>
      </c>
      <c r="C18" s="51">
        <v>45348</v>
      </c>
      <c r="D18" s="83">
        <f t="shared" si="0"/>
        <v>14</v>
      </c>
      <c r="E18" s="83">
        <f t="shared" si="1"/>
        <v>14</v>
      </c>
      <c r="F18" s="58">
        <f t="shared" si="2"/>
        <v>0</v>
      </c>
      <c r="H18" s="64" t="s">
        <v>67</v>
      </c>
      <c r="I18" s="63"/>
      <c r="J18" s="63"/>
      <c r="K18" s="63"/>
      <c r="L18" s="63"/>
      <c r="M18" s="67">
        <f>IF(ISERROR(M17/M15),0,M17/M15)</f>
        <v>0</v>
      </c>
    </row>
    <row r="19" spans="1:13" x14ac:dyDescent="0.2">
      <c r="A19" s="100"/>
      <c r="B19" s="51">
        <v>45376</v>
      </c>
      <c r="C19" s="51">
        <v>45390</v>
      </c>
      <c r="D19" s="83">
        <f t="shared" si="0"/>
        <v>14</v>
      </c>
      <c r="E19" s="83">
        <f t="shared" si="1"/>
        <v>14</v>
      </c>
      <c r="F19" s="58">
        <f t="shared" si="2"/>
        <v>0</v>
      </c>
      <c r="H19" s="64"/>
      <c r="I19" s="63"/>
      <c r="J19" s="63"/>
      <c r="K19" s="63"/>
      <c r="L19" s="63"/>
      <c r="M19" s="67"/>
    </row>
    <row r="20" spans="1:13" x14ac:dyDescent="0.2">
      <c r="A20" s="100"/>
      <c r="B20" s="51">
        <v>45474</v>
      </c>
      <c r="C20" s="51">
        <v>45516</v>
      </c>
      <c r="D20" s="83">
        <f t="shared" si="0"/>
        <v>42</v>
      </c>
      <c r="E20" s="83">
        <f t="shared" si="1"/>
        <v>42</v>
      </c>
      <c r="F20" s="58">
        <f t="shared" si="2"/>
        <v>0</v>
      </c>
      <c r="H20" s="64" t="s">
        <v>23</v>
      </c>
      <c r="I20" s="63"/>
      <c r="J20" s="63"/>
      <c r="K20" s="63"/>
      <c r="L20" s="63"/>
      <c r="M20" s="67">
        <v>42</v>
      </c>
    </row>
    <row r="21" spans="1:13" x14ac:dyDescent="0.2">
      <c r="A21" s="100" t="s">
        <v>68</v>
      </c>
      <c r="B21" s="51">
        <v>45565</v>
      </c>
      <c r="C21" s="51">
        <v>45579</v>
      </c>
      <c r="D21" s="83">
        <f t="shared" si="0"/>
        <v>14</v>
      </c>
      <c r="E21" s="83">
        <f t="shared" si="1"/>
        <v>14</v>
      </c>
      <c r="F21" s="58">
        <f t="shared" si="2"/>
        <v>0</v>
      </c>
      <c r="H21" s="64" t="s">
        <v>69</v>
      </c>
      <c r="I21" s="63"/>
      <c r="J21" s="63"/>
      <c r="K21" s="63"/>
      <c r="L21" s="63"/>
      <c r="M21" s="67">
        <f>M18*M20</f>
        <v>0</v>
      </c>
    </row>
    <row r="22" spans="1:13" x14ac:dyDescent="0.2">
      <c r="A22" s="100"/>
      <c r="B22" s="51">
        <v>45649</v>
      </c>
      <c r="C22" s="51">
        <v>45663</v>
      </c>
      <c r="D22" s="83">
        <f t="shared" si="0"/>
        <v>14</v>
      </c>
      <c r="E22" s="83">
        <f t="shared" si="1"/>
        <v>14</v>
      </c>
      <c r="F22" s="58">
        <f t="shared" si="2"/>
        <v>0</v>
      </c>
      <c r="H22" s="64" t="s">
        <v>70</v>
      </c>
      <c r="I22" s="63"/>
      <c r="J22" s="63"/>
      <c r="K22" s="63"/>
      <c r="L22" s="63"/>
      <c r="M22" s="67">
        <f>M21/5</f>
        <v>0</v>
      </c>
    </row>
    <row r="23" spans="1:13" x14ac:dyDescent="0.2">
      <c r="A23" s="100"/>
      <c r="B23" s="51">
        <v>45719</v>
      </c>
      <c r="C23" s="51">
        <v>45733</v>
      </c>
      <c r="D23" s="83">
        <f t="shared" si="0"/>
        <v>14</v>
      </c>
      <c r="E23" s="83">
        <f t="shared" si="1"/>
        <v>14</v>
      </c>
      <c r="F23" s="58">
        <f t="shared" si="2"/>
        <v>0</v>
      </c>
      <c r="H23" s="64" t="s">
        <v>71</v>
      </c>
      <c r="I23" s="63"/>
      <c r="J23" s="63"/>
      <c r="K23" s="63"/>
      <c r="L23" s="63"/>
      <c r="M23" s="67">
        <f>ROUND(M22*100,0)/100</f>
        <v>0</v>
      </c>
    </row>
    <row r="24" spans="1:13" x14ac:dyDescent="0.2">
      <c r="A24" s="100"/>
      <c r="B24" s="51">
        <v>45761</v>
      </c>
      <c r="C24" s="51">
        <v>45775</v>
      </c>
      <c r="D24" s="83">
        <f t="shared" si="0"/>
        <v>14</v>
      </c>
      <c r="E24" s="83">
        <f t="shared" si="1"/>
        <v>14</v>
      </c>
      <c r="F24" s="58">
        <f t="shared" si="2"/>
        <v>0</v>
      </c>
      <c r="H24" s="64"/>
      <c r="I24" s="63"/>
      <c r="J24" s="63"/>
      <c r="K24" s="63"/>
      <c r="L24" s="63"/>
      <c r="M24" s="67"/>
    </row>
    <row r="25" spans="1:13" x14ac:dyDescent="0.2">
      <c r="A25" s="100"/>
      <c r="B25" s="51">
        <v>45838</v>
      </c>
      <c r="C25" s="51">
        <v>45880</v>
      </c>
      <c r="D25" s="83">
        <f t="shared" si="0"/>
        <v>42</v>
      </c>
      <c r="E25" s="83">
        <f t="shared" si="1"/>
        <v>42</v>
      </c>
      <c r="F25" s="58">
        <f t="shared" si="2"/>
        <v>0</v>
      </c>
      <c r="H25" s="64" t="s">
        <v>72</v>
      </c>
      <c r="I25" s="63"/>
      <c r="J25" s="63"/>
      <c r="K25" s="63"/>
      <c r="L25" s="63"/>
      <c r="M25" s="67">
        <v>42</v>
      </c>
    </row>
    <row r="26" spans="1:13" x14ac:dyDescent="0.2">
      <c r="A26" s="100" t="s">
        <v>73</v>
      </c>
      <c r="B26" s="51">
        <v>45929</v>
      </c>
      <c r="C26" s="51">
        <v>45943</v>
      </c>
      <c r="D26" s="83">
        <f t="shared" si="0"/>
        <v>14</v>
      </c>
      <c r="E26" s="83">
        <f t="shared" si="1"/>
        <v>14</v>
      </c>
      <c r="F26" s="58">
        <f t="shared" si="2"/>
        <v>0</v>
      </c>
      <c r="H26" s="64" t="s">
        <v>21</v>
      </c>
      <c r="I26" s="63"/>
      <c r="J26" s="63"/>
      <c r="K26" s="63"/>
      <c r="L26" s="63"/>
      <c r="M26" s="67">
        <f>ROUND(M21/M25*10000,0)/10000</f>
        <v>0</v>
      </c>
    </row>
    <row r="27" spans="1:13" x14ac:dyDescent="0.2">
      <c r="A27" s="100"/>
      <c r="B27" s="51">
        <v>46013</v>
      </c>
      <c r="C27" s="51">
        <v>46027</v>
      </c>
      <c r="D27" s="83">
        <f t="shared" si="0"/>
        <v>14</v>
      </c>
      <c r="E27" s="83">
        <f t="shared" si="1"/>
        <v>14</v>
      </c>
      <c r="F27" s="58">
        <f t="shared" si="2"/>
        <v>0</v>
      </c>
      <c r="H27" s="68"/>
      <c r="I27" s="63"/>
      <c r="J27" s="63"/>
      <c r="K27" s="63"/>
      <c r="L27" s="63"/>
      <c r="M27" s="65"/>
    </row>
    <row r="28" spans="1:13" x14ac:dyDescent="0.2">
      <c r="A28" s="100"/>
      <c r="B28" s="51">
        <v>46069</v>
      </c>
      <c r="C28" s="51">
        <v>46083</v>
      </c>
      <c r="D28" s="83">
        <f t="shared" si="0"/>
        <v>14</v>
      </c>
      <c r="E28" s="83">
        <f t="shared" si="1"/>
        <v>14</v>
      </c>
      <c r="F28" s="58">
        <f t="shared" si="2"/>
        <v>0</v>
      </c>
      <c r="H28" s="69"/>
      <c r="I28" s="70"/>
      <c r="J28" s="70"/>
      <c r="K28" s="70"/>
      <c r="L28" s="70"/>
      <c r="M28" s="71"/>
    </row>
    <row r="29" spans="1:13" x14ac:dyDescent="0.2">
      <c r="A29" s="100"/>
      <c r="B29" s="51">
        <v>46111</v>
      </c>
      <c r="C29" s="51">
        <v>46125</v>
      </c>
      <c r="D29" s="83">
        <f t="shared" si="0"/>
        <v>14</v>
      </c>
      <c r="E29" s="83">
        <f t="shared" si="1"/>
        <v>14</v>
      </c>
      <c r="F29" s="58">
        <f t="shared" si="2"/>
        <v>0</v>
      </c>
    </row>
    <row r="30" spans="1:13" x14ac:dyDescent="0.2">
      <c r="A30" s="100"/>
      <c r="B30" s="51">
        <v>46202</v>
      </c>
      <c r="C30" s="51">
        <v>46244</v>
      </c>
      <c r="D30" s="83">
        <f t="shared" si="0"/>
        <v>42</v>
      </c>
      <c r="E30" s="83">
        <f t="shared" si="1"/>
        <v>42</v>
      </c>
      <c r="F30" s="58">
        <f t="shared" si="2"/>
        <v>0</v>
      </c>
    </row>
    <row r="31" spans="1:13" x14ac:dyDescent="0.2">
      <c r="A31" s="100" t="s">
        <v>74</v>
      </c>
      <c r="B31" s="51">
        <v>46293</v>
      </c>
      <c r="C31" s="51">
        <v>46307</v>
      </c>
      <c r="D31" s="83">
        <f t="shared" si="0"/>
        <v>14</v>
      </c>
      <c r="E31" s="83">
        <f t="shared" si="1"/>
        <v>14</v>
      </c>
      <c r="F31" s="58">
        <f t="shared" si="2"/>
        <v>0</v>
      </c>
      <c r="H31" s="72" t="s">
        <v>75</v>
      </c>
      <c r="I31" s="72"/>
      <c r="J31" s="72"/>
      <c r="K31" s="72"/>
      <c r="L31" s="72"/>
      <c r="M31" s="73"/>
    </row>
    <row r="32" spans="1:13" x14ac:dyDescent="0.2">
      <c r="A32" s="100"/>
      <c r="B32" s="51">
        <v>46377</v>
      </c>
      <c r="C32" s="51">
        <v>46391</v>
      </c>
      <c r="D32" s="83">
        <f t="shared" si="0"/>
        <v>14</v>
      </c>
      <c r="E32" s="83">
        <f t="shared" si="1"/>
        <v>14</v>
      </c>
      <c r="F32" s="58">
        <f t="shared" si="2"/>
        <v>0</v>
      </c>
      <c r="H32" s="72"/>
      <c r="I32" s="72"/>
      <c r="J32" s="72"/>
      <c r="K32" s="72"/>
      <c r="L32" s="72"/>
      <c r="M32" s="73"/>
    </row>
    <row r="33" spans="1:13" x14ac:dyDescent="0.2">
      <c r="A33" s="100"/>
      <c r="B33" s="51">
        <v>46426</v>
      </c>
      <c r="C33" s="51">
        <v>46440</v>
      </c>
      <c r="D33" s="83">
        <f t="shared" si="0"/>
        <v>14</v>
      </c>
      <c r="E33" s="83">
        <f t="shared" si="1"/>
        <v>14</v>
      </c>
      <c r="F33" s="58">
        <f t="shared" si="2"/>
        <v>0</v>
      </c>
      <c r="H33" s="74" t="s">
        <v>8</v>
      </c>
      <c r="I33" s="75" t="s">
        <v>76</v>
      </c>
      <c r="J33" s="75" t="s">
        <v>77</v>
      </c>
      <c r="K33" s="75" t="s">
        <v>78</v>
      </c>
      <c r="L33" s="76"/>
      <c r="M33" s="73"/>
    </row>
    <row r="34" spans="1:13" x14ac:dyDescent="0.2">
      <c r="A34" s="100"/>
      <c r="B34" s="51">
        <v>46468</v>
      </c>
      <c r="C34" s="51">
        <v>46482</v>
      </c>
      <c r="D34" s="83">
        <f t="shared" si="0"/>
        <v>14</v>
      </c>
      <c r="E34" s="83">
        <f t="shared" si="1"/>
        <v>14</v>
      </c>
      <c r="F34" s="58">
        <f t="shared" si="2"/>
        <v>0</v>
      </c>
      <c r="H34" s="77" t="s">
        <v>9</v>
      </c>
      <c r="I34" s="78">
        <v>25</v>
      </c>
      <c r="J34" s="78">
        <v>27</v>
      </c>
      <c r="K34" s="78">
        <v>30</v>
      </c>
      <c r="L34" s="79"/>
      <c r="M34" s="73"/>
    </row>
    <row r="35" spans="1:13" x14ac:dyDescent="0.2">
      <c r="A35" s="100"/>
      <c r="B35" s="51">
        <v>46573</v>
      </c>
      <c r="C35" s="51">
        <v>46615</v>
      </c>
      <c r="D35" s="83">
        <f t="shared" si="0"/>
        <v>42</v>
      </c>
      <c r="E35" s="83">
        <f t="shared" si="1"/>
        <v>42</v>
      </c>
      <c r="F35" s="58">
        <f t="shared" si="2"/>
        <v>0</v>
      </c>
    </row>
  </sheetData>
  <mergeCells count="7">
    <mergeCell ref="A26:A30"/>
    <mergeCell ref="A31:A35"/>
    <mergeCell ref="A5:A10"/>
    <mergeCell ref="J9:M9"/>
    <mergeCell ref="A11:A15"/>
    <mergeCell ref="A16:A20"/>
    <mergeCell ref="A21:A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J34"/>
  <sheetViews>
    <sheetView zoomScaleNormal="100" workbookViewId="0">
      <selection activeCell="D4" sqref="D4"/>
    </sheetView>
  </sheetViews>
  <sheetFormatPr baseColWidth="10" defaultColWidth="11.42578125" defaultRowHeight="15" x14ac:dyDescent="0.2"/>
  <cols>
    <col min="1" max="1" width="2.85546875" style="1" customWidth="1"/>
    <col min="2" max="2" width="31.7109375" style="1" customWidth="1"/>
    <col min="3" max="3" width="7.140625" style="1" bestFit="1" customWidth="1"/>
    <col min="4" max="4" width="23.5703125" style="1" customWidth="1"/>
    <col min="5" max="5" width="3.85546875" style="1" customWidth="1"/>
    <col min="6" max="7" width="7.140625" style="1" customWidth="1"/>
    <col min="8" max="8" width="9" style="1" customWidth="1"/>
    <col min="9" max="9" width="12.7109375" style="1" bestFit="1" customWidth="1"/>
    <col min="10" max="16384" width="11.42578125" style="1"/>
  </cols>
  <sheetData>
    <row r="1" spans="2:10" ht="15.75" x14ac:dyDescent="0.25">
      <c r="J1" s="22"/>
    </row>
    <row r="2" spans="2:10" ht="18.75" x14ac:dyDescent="0.3">
      <c r="B2" s="93" t="s">
        <v>48</v>
      </c>
      <c r="C2" s="94"/>
      <c r="D2" s="95"/>
      <c r="F2" s="25"/>
      <c r="G2" s="1" t="s">
        <v>46</v>
      </c>
    </row>
    <row r="3" spans="2:10" ht="15.75" x14ac:dyDescent="0.25">
      <c r="B3" s="31" t="s">
        <v>31</v>
      </c>
      <c r="C3" s="32"/>
      <c r="D3" s="33"/>
    </row>
    <row r="4" spans="2:10" x14ac:dyDescent="0.2">
      <c r="B4" s="34" t="s">
        <v>1</v>
      </c>
      <c r="C4" s="29"/>
      <c r="D4" s="47"/>
      <c r="I4" s="2"/>
    </row>
    <row r="5" spans="2:10" x14ac:dyDescent="0.2">
      <c r="B5" s="34" t="s">
        <v>0</v>
      </c>
      <c r="C5" s="29"/>
      <c r="D5" s="47"/>
    </row>
    <row r="6" spans="2:10" x14ac:dyDescent="0.2">
      <c r="B6" s="34" t="s">
        <v>2</v>
      </c>
      <c r="C6" s="29"/>
      <c r="D6" s="47"/>
    </row>
    <row r="7" spans="2:10" x14ac:dyDescent="0.2">
      <c r="B7" s="34" t="s">
        <v>3</v>
      </c>
      <c r="C7" s="29"/>
      <c r="D7" s="35"/>
    </row>
    <row r="8" spans="2:10" x14ac:dyDescent="0.2">
      <c r="B8" s="34" t="s">
        <v>10</v>
      </c>
      <c r="C8" s="29"/>
      <c r="D8" s="36" t="str">
        <f ca="1">IF(D7="","",DATEDIF(D7,TODAY(),"y"))</f>
        <v/>
      </c>
    </row>
    <row r="9" spans="2:10" ht="15.75" x14ac:dyDescent="0.25">
      <c r="B9" s="31" t="s">
        <v>38</v>
      </c>
      <c r="C9" s="32"/>
      <c r="D9" s="33"/>
    </row>
    <row r="10" spans="2:10" x14ac:dyDescent="0.2">
      <c r="B10" s="37" t="s">
        <v>47</v>
      </c>
      <c r="C10" s="30"/>
      <c r="D10" s="38"/>
      <c r="H10" s="2"/>
      <c r="I10" s="2"/>
      <c r="J10" s="24"/>
    </row>
    <row r="11" spans="2:10" x14ac:dyDescent="0.2">
      <c r="B11" s="39" t="str">
        <f>IF(B10="Geplante Stunden:","Genutzte Lektionen aus Pool:","Geplante Stunden:")</f>
        <v>Genutzte Lektionen aus Pool:</v>
      </c>
      <c r="C11" s="28"/>
      <c r="D11" s="26" t="str">
        <f>IF(D10="","",IF(B11="Genutzte Lektionen aus Pool:",D10/2,D10*2))</f>
        <v/>
      </c>
      <c r="G11" s="2"/>
    </row>
    <row r="12" spans="2:10" x14ac:dyDescent="0.2">
      <c r="B12" s="39"/>
      <c r="C12" s="28"/>
      <c r="D12" s="40"/>
    </row>
    <row r="13" spans="2:10" x14ac:dyDescent="0.2">
      <c r="B13" s="96" t="s">
        <v>43</v>
      </c>
      <c r="C13" s="30" t="s">
        <v>32</v>
      </c>
      <c r="D13" s="35"/>
      <c r="F13" s="23"/>
    </row>
    <row r="14" spans="2:10" ht="15.75" x14ac:dyDescent="0.25">
      <c r="B14" s="97"/>
      <c r="C14" s="28" t="s">
        <v>33</v>
      </c>
      <c r="D14" s="35"/>
      <c r="E14" s="3"/>
      <c r="H14" s="84"/>
      <c r="I14" s="24"/>
      <c r="J14" s="23"/>
    </row>
    <row r="15" spans="2:10" x14ac:dyDescent="0.2">
      <c r="B15" s="39" t="s">
        <v>4</v>
      </c>
      <c r="C15" s="28"/>
      <c r="D15" s="48" t="str">
        <f>IF(OR(D13="",D14=""),"",((YEAR(D14)-YEAR(D13))*12+MONTH(D14)-MONTH(D13)+1)-(DAY(D13)-1)/DAY(EOMONTH(D13,0))-(DAY(EOMONTH(D14,0))-DAY(D14))/DAY(EOMONTH(D14,0)))</f>
        <v/>
      </c>
    </row>
    <row r="16" spans="2:10" ht="15.75" x14ac:dyDescent="0.25">
      <c r="B16" s="31" t="s">
        <v>39</v>
      </c>
      <c r="C16" s="32"/>
      <c r="D16" s="33"/>
    </row>
    <row r="17" spans="2:5" x14ac:dyDescent="0.2">
      <c r="B17" s="90" t="s">
        <v>36</v>
      </c>
      <c r="C17" s="90"/>
      <c r="D17" s="27">
        <f>'Ferienplan Pensenberechnung Ass'!M11/7</f>
        <v>0</v>
      </c>
    </row>
    <row r="18" spans="2:5" x14ac:dyDescent="0.2">
      <c r="B18" s="90" t="s">
        <v>45</v>
      </c>
      <c r="C18" s="90"/>
      <c r="D18" s="27">
        <f>+'Ferienplan Pensenberechnung Ass'!M17/7</f>
        <v>0</v>
      </c>
    </row>
    <row r="19" spans="2:5" ht="15.75" x14ac:dyDescent="0.25">
      <c r="B19" s="90" t="s">
        <v>42</v>
      </c>
      <c r="C19" s="90"/>
      <c r="D19" s="85" t="str">
        <f>IF(OR(D7="",D13=""),"",VLOOKUP(DATEDIF(D7,DATE(YEAR(D13),1,1),"y"),B32:D34,3,1))</f>
        <v/>
      </c>
      <c r="E19" s="3"/>
    </row>
    <row r="20" spans="2:5" ht="15.75" x14ac:dyDescent="0.25">
      <c r="B20" s="31" t="s">
        <v>40</v>
      </c>
      <c r="C20" s="32"/>
      <c r="D20" s="33"/>
    </row>
    <row r="21" spans="2:5" x14ac:dyDescent="0.2">
      <c r="B21" s="98" t="s">
        <v>34</v>
      </c>
      <c r="C21" s="99"/>
      <c r="D21" s="27">
        <f>+'Ferienplan Pensenberechnung Ass'!M14*0.714285714285714</f>
        <v>0</v>
      </c>
    </row>
    <row r="22" spans="2:5" x14ac:dyDescent="0.2">
      <c r="B22" s="98" t="s">
        <v>35</v>
      </c>
      <c r="C22" s="99"/>
      <c r="D22" s="27">
        <f>IF(D21="","",D21/5)</f>
        <v>0</v>
      </c>
    </row>
    <row r="23" spans="2:5" ht="30" customHeight="1" x14ac:dyDescent="0.2">
      <c r="B23" s="98" t="s">
        <v>5</v>
      </c>
      <c r="C23" s="99"/>
      <c r="D23" s="27">
        <f>IFERROR(D17-D22,"")</f>
        <v>0</v>
      </c>
    </row>
    <row r="24" spans="2:5" x14ac:dyDescent="0.2">
      <c r="B24" s="91" t="s">
        <v>6</v>
      </c>
      <c r="C24" s="92"/>
      <c r="D24" s="27">
        <f>IF(D23=0,0,IF(D23="","",VLOOKUP("Geplante Stunden:",B10:D11,3,0)*D18/D23))</f>
        <v>0</v>
      </c>
    </row>
    <row r="25" spans="2:5" x14ac:dyDescent="0.2">
      <c r="B25" s="91" t="s">
        <v>7</v>
      </c>
      <c r="C25" s="92"/>
      <c r="D25" s="27">
        <f>IF(D24="","",ROUND((D24/5)*20,0)/20)</f>
        <v>0</v>
      </c>
    </row>
    <row r="26" spans="2:5" ht="15.75" x14ac:dyDescent="0.25">
      <c r="B26" s="41" t="s">
        <v>41</v>
      </c>
      <c r="C26" s="42"/>
      <c r="D26" s="43">
        <f>IF(D24="","",D24/42*100)</f>
        <v>0</v>
      </c>
    </row>
    <row r="28" spans="2:5" x14ac:dyDescent="0.2">
      <c r="B28" s="21" t="s">
        <v>37</v>
      </c>
      <c r="C28" s="44"/>
      <c r="D28" s="44"/>
    </row>
    <row r="29" spans="2:5" ht="15" customHeight="1" x14ac:dyDescent="0.2">
      <c r="B29" s="21" t="s">
        <v>44</v>
      </c>
      <c r="C29" s="44"/>
      <c r="D29" s="44"/>
    </row>
    <row r="30" spans="2:5" x14ac:dyDescent="0.2">
      <c r="B30" s="86" t="s">
        <v>8</v>
      </c>
      <c r="C30" s="87"/>
      <c r="D30" s="88" t="s">
        <v>9</v>
      </c>
    </row>
    <row r="31" spans="2:5" x14ac:dyDescent="0.2">
      <c r="B31" s="45" t="s">
        <v>11</v>
      </c>
      <c r="C31" s="45" t="s">
        <v>12</v>
      </c>
      <c r="D31" s="89"/>
    </row>
    <row r="32" spans="2:5" x14ac:dyDescent="0.2">
      <c r="B32" s="46">
        <v>0</v>
      </c>
      <c r="C32" s="46">
        <v>49</v>
      </c>
      <c r="D32" s="46">
        <v>25</v>
      </c>
    </row>
    <row r="33" spans="2:4" x14ac:dyDescent="0.2">
      <c r="B33" s="46">
        <v>50</v>
      </c>
      <c r="C33" s="46">
        <v>59</v>
      </c>
      <c r="D33" s="46">
        <v>27</v>
      </c>
    </row>
    <row r="34" spans="2:4" x14ac:dyDescent="0.2">
      <c r="B34" s="46">
        <v>60</v>
      </c>
      <c r="C34" s="46">
        <v>65</v>
      </c>
      <c r="D34" s="46">
        <v>30</v>
      </c>
    </row>
  </sheetData>
  <sheetProtection sheet="1" objects="1" scenarios="1"/>
  <mergeCells count="12">
    <mergeCell ref="B30:C30"/>
    <mergeCell ref="D30:D31"/>
    <mergeCell ref="B19:C19"/>
    <mergeCell ref="B21:C21"/>
    <mergeCell ref="B22:C22"/>
    <mergeCell ref="B23:C23"/>
    <mergeCell ref="B24:C24"/>
    <mergeCell ref="B2:D2"/>
    <mergeCell ref="B13:B14"/>
    <mergeCell ref="B17:C17"/>
    <mergeCell ref="B18:C18"/>
    <mergeCell ref="B25:C25"/>
  </mergeCells>
  <dataValidations count="1">
    <dataValidation type="list" allowBlank="1" showInputMessage="1" showErrorMessage="1" sqref="B10">
      <formula1>"Genutzte Lektionen aus Pool:,Geplante Stunden:"</formula1>
    </dataValidation>
  </dataValidations>
  <pageMargins left="0.30208333333333331" right="0.7" top="0.96875" bottom="0.78740157499999996" header="0.3" footer="0.3"/>
  <pageSetup paperSize="9"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M35"/>
  <sheetViews>
    <sheetView workbookViewId="0">
      <selection activeCell="C21" sqref="C21"/>
    </sheetView>
  </sheetViews>
  <sheetFormatPr baseColWidth="10" defaultColWidth="11.5703125" defaultRowHeight="12.75" x14ac:dyDescent="0.2"/>
  <cols>
    <col min="1" max="1" width="11.5703125" style="49"/>
    <col min="2" max="3" width="13.85546875" style="49" customWidth="1"/>
    <col min="4" max="5" width="13.7109375" style="55" bestFit="1" customWidth="1"/>
    <col min="6" max="6" width="18.28515625" style="49" bestFit="1" customWidth="1"/>
    <col min="7" max="7" width="11.5703125" style="49"/>
    <col min="8" max="8" width="12.85546875" style="49" customWidth="1"/>
    <col min="9" max="11" width="9.140625" style="49" customWidth="1"/>
    <col min="12" max="12" width="10.140625" style="49" customWidth="1"/>
    <col min="13" max="13" width="11.5703125" style="53"/>
    <col min="14" max="16384" width="11.5703125" style="49"/>
  </cols>
  <sheetData>
    <row r="2" spans="1:13" x14ac:dyDescent="0.2">
      <c r="B2" s="50" t="s">
        <v>49</v>
      </c>
      <c r="C2" s="82">
        <f>+'Umrechnung Stunden-Pensen Assis'!D13</f>
        <v>0</v>
      </c>
      <c r="D2" s="52" t="s">
        <v>50</v>
      </c>
      <c r="E2" s="82">
        <f>+'Umrechnung Stunden-Pensen Assis'!D14</f>
        <v>0</v>
      </c>
    </row>
    <row r="3" spans="1:13" x14ac:dyDescent="0.2">
      <c r="C3" s="54"/>
    </row>
    <row r="4" spans="1:13" ht="38.25" x14ac:dyDescent="0.2">
      <c r="A4" s="56" t="s">
        <v>51</v>
      </c>
      <c r="B4" s="56" t="s">
        <v>52</v>
      </c>
      <c r="C4" s="56" t="s">
        <v>53</v>
      </c>
      <c r="D4" s="56" t="s">
        <v>54</v>
      </c>
      <c r="E4" s="56" t="s">
        <v>55</v>
      </c>
      <c r="F4" s="56" t="s">
        <v>56</v>
      </c>
      <c r="G4" s="80"/>
      <c r="H4" s="80"/>
      <c r="I4" s="80"/>
      <c r="J4" s="80"/>
      <c r="K4" s="80"/>
      <c r="L4" s="80"/>
      <c r="M4" s="49"/>
    </row>
    <row r="5" spans="1:13" x14ac:dyDescent="0.2">
      <c r="A5" s="100" t="s">
        <v>57</v>
      </c>
      <c r="B5" s="57">
        <v>44382</v>
      </c>
      <c r="C5" s="57">
        <v>44424</v>
      </c>
      <c r="D5" s="83">
        <f>IFERROR(MAX(MIN(_xlfn.DAYS(C5,$C$2),_xlfn.DAYS(C5,B5)),0),"")</f>
        <v>42</v>
      </c>
      <c r="E5" s="83">
        <f>IFERROR(MIN(MAX(_xlfn.DAYS(C5,$E$2),0),_xlfn.DAYS(C5,B5)),"")</f>
        <v>42</v>
      </c>
      <c r="F5" s="58">
        <f>IFERROR(D5-E5,"")</f>
        <v>0</v>
      </c>
      <c r="G5" s="80"/>
      <c r="H5" s="80"/>
      <c r="I5" s="80"/>
      <c r="J5" s="80"/>
      <c r="K5" s="80"/>
      <c r="L5" s="80"/>
      <c r="M5" s="49"/>
    </row>
    <row r="6" spans="1:13" x14ac:dyDescent="0.2">
      <c r="A6" s="100"/>
      <c r="B6" s="51">
        <v>44473</v>
      </c>
      <c r="C6" s="51">
        <v>44487</v>
      </c>
      <c r="D6" s="83">
        <f t="shared" ref="D6:D35" si="0">IFERROR(MAX(MIN(_xlfn.DAYS(C6,$C$2),_xlfn.DAYS(C6,B6)),0),"")</f>
        <v>14</v>
      </c>
      <c r="E6" s="83">
        <f t="shared" ref="E6:E35" si="1">IFERROR(MIN(MAX(_xlfn.DAYS(C6,$E$2),0),_xlfn.DAYS(C6,B6)),"")</f>
        <v>14</v>
      </c>
      <c r="F6" s="58">
        <f t="shared" ref="F6:F35" si="2">IFERROR(D6-E6,"")</f>
        <v>0</v>
      </c>
      <c r="G6" s="80"/>
      <c r="H6" s="80"/>
      <c r="I6" s="80"/>
      <c r="J6" s="80"/>
      <c r="K6" s="80"/>
      <c r="L6" s="80"/>
      <c r="M6" s="49"/>
    </row>
    <row r="7" spans="1:13" x14ac:dyDescent="0.2">
      <c r="A7" s="100"/>
      <c r="B7" s="51">
        <v>44550</v>
      </c>
      <c r="C7" s="51">
        <v>44564</v>
      </c>
      <c r="D7" s="83">
        <f t="shared" si="0"/>
        <v>14</v>
      </c>
      <c r="E7" s="83">
        <f t="shared" si="1"/>
        <v>14</v>
      </c>
      <c r="F7" s="58">
        <f t="shared" si="2"/>
        <v>0</v>
      </c>
      <c r="G7" s="80"/>
      <c r="H7" s="80"/>
      <c r="I7" s="80"/>
      <c r="J7" s="80"/>
      <c r="K7" s="80"/>
      <c r="L7" s="80"/>
    </row>
    <row r="8" spans="1:13" x14ac:dyDescent="0.2">
      <c r="A8" s="100"/>
      <c r="B8" s="51">
        <v>44620</v>
      </c>
      <c r="C8" s="51">
        <v>44634</v>
      </c>
      <c r="D8" s="83">
        <f t="shared" si="0"/>
        <v>14</v>
      </c>
      <c r="E8" s="83">
        <f t="shared" si="1"/>
        <v>14</v>
      </c>
      <c r="F8" s="58">
        <f t="shared" si="2"/>
        <v>0</v>
      </c>
      <c r="H8" s="59"/>
      <c r="I8" s="60"/>
      <c r="J8" s="60"/>
      <c r="K8" s="60"/>
      <c r="L8" s="60"/>
      <c r="M8" s="61"/>
    </row>
    <row r="9" spans="1:13" x14ac:dyDescent="0.2">
      <c r="A9" s="100"/>
      <c r="B9" s="51">
        <v>44662</v>
      </c>
      <c r="C9" s="51">
        <v>44676</v>
      </c>
      <c r="D9" s="83">
        <f t="shared" si="0"/>
        <v>14</v>
      </c>
      <c r="E9" s="83">
        <f t="shared" si="1"/>
        <v>14</v>
      </c>
      <c r="F9" s="58">
        <f t="shared" si="2"/>
        <v>0</v>
      </c>
      <c r="H9" s="62" t="s">
        <v>58</v>
      </c>
      <c r="I9" s="63"/>
      <c r="J9" s="101" t="s">
        <v>79</v>
      </c>
      <c r="K9" s="101"/>
      <c r="L9" s="101"/>
      <c r="M9" s="102"/>
    </row>
    <row r="10" spans="1:13" x14ac:dyDescent="0.2">
      <c r="A10" s="100"/>
      <c r="B10" s="51">
        <v>44746</v>
      </c>
      <c r="C10" s="51">
        <v>44788</v>
      </c>
      <c r="D10" s="83">
        <f t="shared" si="0"/>
        <v>42</v>
      </c>
      <c r="E10" s="83">
        <f t="shared" si="1"/>
        <v>42</v>
      </c>
      <c r="F10" s="58">
        <f t="shared" si="2"/>
        <v>0</v>
      </c>
      <c r="H10" s="64"/>
      <c r="I10" s="63"/>
      <c r="J10" s="63"/>
      <c r="K10" s="63"/>
      <c r="L10" s="63"/>
      <c r="M10" s="65"/>
    </row>
    <row r="11" spans="1:13" x14ac:dyDescent="0.2">
      <c r="A11" s="100" t="s">
        <v>59</v>
      </c>
      <c r="B11" s="51">
        <v>44837</v>
      </c>
      <c r="C11" s="51">
        <v>44851</v>
      </c>
      <c r="D11" s="83">
        <f t="shared" si="0"/>
        <v>14</v>
      </c>
      <c r="E11" s="83">
        <f t="shared" si="1"/>
        <v>14</v>
      </c>
      <c r="F11" s="58">
        <f t="shared" si="2"/>
        <v>0</v>
      </c>
      <c r="H11" s="64" t="s">
        <v>60</v>
      </c>
      <c r="I11" s="63"/>
      <c r="J11" s="63"/>
      <c r="K11" s="63"/>
      <c r="L11" s="63"/>
      <c r="M11" s="66">
        <f>IFERROR(IF(E2=C2,0,_xlfn.DAYS(E2,C2)+1),0)</f>
        <v>0</v>
      </c>
    </row>
    <row r="12" spans="1:13" x14ac:dyDescent="0.2">
      <c r="A12" s="100"/>
      <c r="B12" s="51">
        <v>44921</v>
      </c>
      <c r="C12" s="51">
        <v>44935</v>
      </c>
      <c r="D12" s="83">
        <f t="shared" si="0"/>
        <v>14</v>
      </c>
      <c r="E12" s="83">
        <f t="shared" si="1"/>
        <v>14</v>
      </c>
      <c r="F12" s="58">
        <f t="shared" si="2"/>
        <v>0</v>
      </c>
      <c r="H12" s="64" t="s">
        <v>61</v>
      </c>
      <c r="I12" s="63"/>
      <c r="J12" s="63"/>
      <c r="K12" s="63"/>
      <c r="L12" s="63"/>
      <c r="M12" s="67">
        <f>SUM(F6:F39)</f>
        <v>0</v>
      </c>
    </row>
    <row r="13" spans="1:13" x14ac:dyDescent="0.2">
      <c r="A13" s="100"/>
      <c r="B13" s="51">
        <v>44977</v>
      </c>
      <c r="C13" s="51">
        <v>44991</v>
      </c>
      <c r="D13" s="83">
        <f t="shared" si="0"/>
        <v>14</v>
      </c>
      <c r="E13" s="83">
        <f t="shared" si="1"/>
        <v>14</v>
      </c>
      <c r="F13" s="58">
        <f t="shared" si="2"/>
        <v>0</v>
      </c>
      <c r="H13" s="64" t="s">
        <v>62</v>
      </c>
      <c r="I13" s="63"/>
      <c r="J13" s="63"/>
      <c r="K13" s="63"/>
      <c r="L13" s="63"/>
      <c r="M13" s="81" t="str">
        <f>+'Umrechnung Stunden-Pensen Assis'!D19</f>
        <v/>
      </c>
    </row>
    <row r="14" spans="1:13" x14ac:dyDescent="0.2">
      <c r="A14" s="100"/>
      <c r="B14" s="51">
        <v>45019</v>
      </c>
      <c r="C14" s="51">
        <v>45033</v>
      </c>
      <c r="D14" s="83">
        <f t="shared" si="0"/>
        <v>14</v>
      </c>
      <c r="E14" s="83">
        <f t="shared" si="1"/>
        <v>14</v>
      </c>
      <c r="F14" s="58">
        <f t="shared" si="2"/>
        <v>0</v>
      </c>
      <c r="H14" s="64" t="s">
        <v>63</v>
      </c>
      <c r="I14" s="63"/>
      <c r="J14" s="63"/>
      <c r="K14" s="63"/>
      <c r="L14" s="63"/>
      <c r="M14" s="81">
        <f>IFERROR(M11/365*M13*7/5,0)</f>
        <v>0</v>
      </c>
    </row>
    <row r="15" spans="1:13" x14ac:dyDescent="0.2">
      <c r="A15" s="100"/>
      <c r="B15" s="51">
        <v>45110</v>
      </c>
      <c r="C15" s="51">
        <v>45152</v>
      </c>
      <c r="D15" s="83">
        <f t="shared" si="0"/>
        <v>42</v>
      </c>
      <c r="E15" s="83">
        <f t="shared" si="1"/>
        <v>42</v>
      </c>
      <c r="F15" s="58">
        <f t="shared" si="2"/>
        <v>0</v>
      </c>
      <c r="H15" s="64" t="s">
        <v>64</v>
      </c>
      <c r="I15" s="63"/>
      <c r="J15" s="63"/>
      <c r="K15" s="63"/>
      <c r="L15" s="63"/>
      <c r="M15" s="67">
        <f>IFERROR(M11-M14,0)</f>
        <v>0</v>
      </c>
    </row>
    <row r="16" spans="1:13" x14ac:dyDescent="0.2">
      <c r="A16" s="100" t="s">
        <v>65</v>
      </c>
      <c r="B16" s="51">
        <v>45201</v>
      </c>
      <c r="C16" s="51">
        <v>45215</v>
      </c>
      <c r="D16" s="83">
        <f t="shared" si="0"/>
        <v>14</v>
      </c>
      <c r="E16" s="83">
        <f t="shared" si="1"/>
        <v>14</v>
      </c>
      <c r="F16" s="58">
        <f t="shared" si="2"/>
        <v>0</v>
      </c>
      <c r="H16" s="64"/>
      <c r="I16" s="63"/>
      <c r="J16" s="63"/>
      <c r="K16" s="63"/>
      <c r="L16" s="63"/>
      <c r="M16" s="67"/>
    </row>
    <row r="17" spans="1:13" x14ac:dyDescent="0.2">
      <c r="A17" s="100"/>
      <c r="B17" s="51">
        <v>45285</v>
      </c>
      <c r="C17" s="51">
        <v>45299</v>
      </c>
      <c r="D17" s="83">
        <f t="shared" si="0"/>
        <v>14</v>
      </c>
      <c r="E17" s="83">
        <f t="shared" si="1"/>
        <v>14</v>
      </c>
      <c r="F17" s="58">
        <f t="shared" si="2"/>
        <v>0</v>
      </c>
      <c r="H17" s="64" t="s">
        <v>66</v>
      </c>
      <c r="I17" s="63"/>
      <c r="J17" s="63"/>
      <c r="K17" s="63"/>
      <c r="L17" s="63"/>
      <c r="M17" s="67">
        <f>M11-M12</f>
        <v>0</v>
      </c>
    </row>
    <row r="18" spans="1:13" x14ac:dyDescent="0.2">
      <c r="A18" s="100"/>
      <c r="B18" s="51">
        <v>45334</v>
      </c>
      <c r="C18" s="51">
        <v>45348</v>
      </c>
      <c r="D18" s="83">
        <f t="shared" si="0"/>
        <v>14</v>
      </c>
      <c r="E18" s="83">
        <f t="shared" si="1"/>
        <v>14</v>
      </c>
      <c r="F18" s="58">
        <f t="shared" si="2"/>
        <v>0</v>
      </c>
      <c r="H18" s="64" t="s">
        <v>67</v>
      </c>
      <c r="I18" s="63"/>
      <c r="J18" s="63"/>
      <c r="K18" s="63"/>
      <c r="L18" s="63"/>
      <c r="M18" s="67">
        <f>IF(ISERROR(M17/M15),0,M17/M15)</f>
        <v>0</v>
      </c>
    </row>
    <row r="19" spans="1:13" x14ac:dyDescent="0.2">
      <c r="A19" s="100"/>
      <c r="B19" s="51">
        <v>45376</v>
      </c>
      <c r="C19" s="51">
        <v>45390</v>
      </c>
      <c r="D19" s="83">
        <f t="shared" si="0"/>
        <v>14</v>
      </c>
      <c r="E19" s="83">
        <f t="shared" si="1"/>
        <v>14</v>
      </c>
      <c r="F19" s="58">
        <f t="shared" si="2"/>
        <v>0</v>
      </c>
      <c r="H19" s="64"/>
      <c r="I19" s="63"/>
      <c r="J19" s="63"/>
      <c r="K19" s="63"/>
      <c r="L19" s="63"/>
      <c r="M19" s="67"/>
    </row>
    <row r="20" spans="1:13" x14ac:dyDescent="0.2">
      <c r="A20" s="100"/>
      <c r="B20" s="51">
        <v>45474</v>
      </c>
      <c r="C20" s="51">
        <v>45516</v>
      </c>
      <c r="D20" s="83">
        <f t="shared" si="0"/>
        <v>42</v>
      </c>
      <c r="E20" s="83">
        <f t="shared" si="1"/>
        <v>42</v>
      </c>
      <c r="F20" s="58">
        <f t="shared" si="2"/>
        <v>0</v>
      </c>
      <c r="H20" s="64" t="s">
        <v>23</v>
      </c>
      <c r="I20" s="63"/>
      <c r="J20" s="63"/>
      <c r="K20" s="63"/>
      <c r="L20" s="63"/>
      <c r="M20" s="67">
        <v>42</v>
      </c>
    </row>
    <row r="21" spans="1:13" x14ac:dyDescent="0.2">
      <c r="A21" s="100" t="s">
        <v>68</v>
      </c>
      <c r="B21" s="51">
        <v>45565</v>
      </c>
      <c r="C21" s="51">
        <v>45579</v>
      </c>
      <c r="D21" s="83">
        <f t="shared" si="0"/>
        <v>14</v>
      </c>
      <c r="E21" s="83">
        <f t="shared" si="1"/>
        <v>14</v>
      </c>
      <c r="F21" s="58">
        <f t="shared" si="2"/>
        <v>0</v>
      </c>
      <c r="H21" s="64" t="s">
        <v>69</v>
      </c>
      <c r="I21" s="63"/>
      <c r="J21" s="63"/>
      <c r="K21" s="63"/>
      <c r="L21" s="63"/>
      <c r="M21" s="67">
        <f>M18*M20</f>
        <v>0</v>
      </c>
    </row>
    <row r="22" spans="1:13" x14ac:dyDescent="0.2">
      <c r="A22" s="100"/>
      <c r="B22" s="51">
        <v>45649</v>
      </c>
      <c r="C22" s="51">
        <v>45663</v>
      </c>
      <c r="D22" s="83">
        <f t="shared" si="0"/>
        <v>14</v>
      </c>
      <c r="E22" s="83">
        <f t="shared" si="1"/>
        <v>14</v>
      </c>
      <c r="F22" s="58">
        <f t="shared" si="2"/>
        <v>0</v>
      </c>
      <c r="H22" s="64" t="s">
        <v>70</v>
      </c>
      <c r="I22" s="63"/>
      <c r="J22" s="63"/>
      <c r="K22" s="63"/>
      <c r="L22" s="63"/>
      <c r="M22" s="67">
        <f>M21/5</f>
        <v>0</v>
      </c>
    </row>
    <row r="23" spans="1:13" x14ac:dyDescent="0.2">
      <c r="A23" s="100"/>
      <c r="B23" s="51">
        <v>45719</v>
      </c>
      <c r="C23" s="51">
        <v>45733</v>
      </c>
      <c r="D23" s="83">
        <f t="shared" si="0"/>
        <v>14</v>
      </c>
      <c r="E23" s="83">
        <f t="shared" si="1"/>
        <v>14</v>
      </c>
      <c r="F23" s="58">
        <f t="shared" si="2"/>
        <v>0</v>
      </c>
      <c r="H23" s="64" t="s">
        <v>71</v>
      </c>
      <c r="I23" s="63"/>
      <c r="J23" s="63"/>
      <c r="K23" s="63"/>
      <c r="L23" s="63"/>
      <c r="M23" s="67">
        <f>ROUND(M22*100,0)/100</f>
        <v>0</v>
      </c>
    </row>
    <row r="24" spans="1:13" x14ac:dyDescent="0.2">
      <c r="A24" s="100"/>
      <c r="B24" s="51">
        <v>45761</v>
      </c>
      <c r="C24" s="51">
        <v>45775</v>
      </c>
      <c r="D24" s="83">
        <f t="shared" si="0"/>
        <v>14</v>
      </c>
      <c r="E24" s="83">
        <f t="shared" si="1"/>
        <v>14</v>
      </c>
      <c r="F24" s="58">
        <f t="shared" si="2"/>
        <v>0</v>
      </c>
      <c r="H24" s="64"/>
      <c r="I24" s="63"/>
      <c r="J24" s="63"/>
      <c r="K24" s="63"/>
      <c r="L24" s="63"/>
      <c r="M24" s="67"/>
    </row>
    <row r="25" spans="1:13" x14ac:dyDescent="0.2">
      <c r="A25" s="100"/>
      <c r="B25" s="51">
        <v>45838</v>
      </c>
      <c r="C25" s="51">
        <v>45880</v>
      </c>
      <c r="D25" s="83">
        <f t="shared" si="0"/>
        <v>42</v>
      </c>
      <c r="E25" s="83">
        <f t="shared" si="1"/>
        <v>42</v>
      </c>
      <c r="F25" s="58">
        <f t="shared" si="2"/>
        <v>0</v>
      </c>
      <c r="H25" s="64" t="s">
        <v>72</v>
      </c>
      <c r="I25" s="63"/>
      <c r="J25" s="63"/>
      <c r="K25" s="63"/>
      <c r="L25" s="63"/>
      <c r="M25" s="67">
        <v>42</v>
      </c>
    </row>
    <row r="26" spans="1:13" x14ac:dyDescent="0.2">
      <c r="A26" s="100" t="s">
        <v>73</v>
      </c>
      <c r="B26" s="51">
        <v>45929</v>
      </c>
      <c r="C26" s="51">
        <v>45943</v>
      </c>
      <c r="D26" s="83">
        <f t="shared" si="0"/>
        <v>14</v>
      </c>
      <c r="E26" s="83">
        <f t="shared" si="1"/>
        <v>14</v>
      </c>
      <c r="F26" s="58">
        <f t="shared" si="2"/>
        <v>0</v>
      </c>
      <c r="H26" s="64" t="s">
        <v>21</v>
      </c>
      <c r="I26" s="63"/>
      <c r="J26" s="63"/>
      <c r="K26" s="63"/>
      <c r="L26" s="63"/>
      <c r="M26" s="67">
        <f>ROUND(M21/M25*10000,0)/10000</f>
        <v>0</v>
      </c>
    </row>
    <row r="27" spans="1:13" x14ac:dyDescent="0.2">
      <c r="A27" s="100"/>
      <c r="B27" s="51">
        <v>46013</v>
      </c>
      <c r="C27" s="51">
        <v>46027</v>
      </c>
      <c r="D27" s="83">
        <f t="shared" si="0"/>
        <v>14</v>
      </c>
      <c r="E27" s="83">
        <f t="shared" si="1"/>
        <v>14</v>
      </c>
      <c r="F27" s="58">
        <f t="shared" si="2"/>
        <v>0</v>
      </c>
      <c r="H27" s="68"/>
      <c r="I27" s="63"/>
      <c r="J27" s="63"/>
      <c r="K27" s="63"/>
      <c r="L27" s="63"/>
      <c r="M27" s="65"/>
    </row>
    <row r="28" spans="1:13" x14ac:dyDescent="0.2">
      <c r="A28" s="100"/>
      <c r="B28" s="51">
        <v>46069</v>
      </c>
      <c r="C28" s="51">
        <v>46083</v>
      </c>
      <c r="D28" s="83">
        <f t="shared" si="0"/>
        <v>14</v>
      </c>
      <c r="E28" s="83">
        <f t="shared" si="1"/>
        <v>14</v>
      </c>
      <c r="F28" s="58">
        <f t="shared" si="2"/>
        <v>0</v>
      </c>
      <c r="H28" s="69"/>
      <c r="I28" s="70"/>
      <c r="J28" s="70"/>
      <c r="K28" s="70"/>
      <c r="L28" s="70"/>
      <c r="M28" s="71"/>
    </row>
    <row r="29" spans="1:13" x14ac:dyDescent="0.2">
      <c r="A29" s="100"/>
      <c r="B29" s="51">
        <v>46111</v>
      </c>
      <c r="C29" s="51">
        <v>46125</v>
      </c>
      <c r="D29" s="83">
        <f t="shared" si="0"/>
        <v>14</v>
      </c>
      <c r="E29" s="83">
        <f t="shared" si="1"/>
        <v>14</v>
      </c>
      <c r="F29" s="58">
        <f t="shared" si="2"/>
        <v>0</v>
      </c>
    </row>
    <row r="30" spans="1:13" x14ac:dyDescent="0.2">
      <c r="A30" s="100"/>
      <c r="B30" s="51">
        <v>46202</v>
      </c>
      <c r="C30" s="51">
        <v>46244</v>
      </c>
      <c r="D30" s="83">
        <f t="shared" si="0"/>
        <v>42</v>
      </c>
      <c r="E30" s="83">
        <f t="shared" si="1"/>
        <v>42</v>
      </c>
      <c r="F30" s="58">
        <f t="shared" si="2"/>
        <v>0</v>
      </c>
    </row>
    <row r="31" spans="1:13" x14ac:dyDescent="0.2">
      <c r="A31" s="100" t="s">
        <v>74</v>
      </c>
      <c r="B31" s="51">
        <v>46293</v>
      </c>
      <c r="C31" s="51">
        <v>46307</v>
      </c>
      <c r="D31" s="83">
        <f t="shared" si="0"/>
        <v>14</v>
      </c>
      <c r="E31" s="83">
        <f t="shared" si="1"/>
        <v>14</v>
      </c>
      <c r="F31" s="58">
        <f t="shared" si="2"/>
        <v>0</v>
      </c>
      <c r="H31" s="72" t="s">
        <v>75</v>
      </c>
      <c r="I31" s="72"/>
      <c r="J31" s="72"/>
      <c r="K31" s="72"/>
      <c r="L31" s="72"/>
      <c r="M31" s="73"/>
    </row>
    <row r="32" spans="1:13" x14ac:dyDescent="0.2">
      <c r="A32" s="100"/>
      <c r="B32" s="51">
        <v>46377</v>
      </c>
      <c r="C32" s="51">
        <v>46391</v>
      </c>
      <c r="D32" s="83">
        <f t="shared" si="0"/>
        <v>14</v>
      </c>
      <c r="E32" s="83">
        <f t="shared" si="1"/>
        <v>14</v>
      </c>
      <c r="F32" s="58">
        <f t="shared" si="2"/>
        <v>0</v>
      </c>
      <c r="H32" s="72"/>
      <c r="I32" s="72"/>
      <c r="J32" s="72"/>
      <c r="K32" s="72"/>
      <c r="L32" s="72"/>
      <c r="M32" s="73"/>
    </row>
    <row r="33" spans="1:13" x14ac:dyDescent="0.2">
      <c r="A33" s="100"/>
      <c r="B33" s="51">
        <v>46426</v>
      </c>
      <c r="C33" s="51">
        <v>46440</v>
      </c>
      <c r="D33" s="83">
        <f t="shared" si="0"/>
        <v>14</v>
      </c>
      <c r="E33" s="83">
        <f t="shared" si="1"/>
        <v>14</v>
      </c>
      <c r="F33" s="58">
        <f t="shared" si="2"/>
        <v>0</v>
      </c>
      <c r="H33" s="74" t="s">
        <v>8</v>
      </c>
      <c r="I33" s="75" t="s">
        <v>76</v>
      </c>
      <c r="J33" s="75" t="s">
        <v>77</v>
      </c>
      <c r="K33" s="75" t="s">
        <v>78</v>
      </c>
      <c r="L33" s="76"/>
      <c r="M33" s="73"/>
    </row>
    <row r="34" spans="1:13" x14ac:dyDescent="0.2">
      <c r="A34" s="100"/>
      <c r="B34" s="51">
        <v>46468</v>
      </c>
      <c r="C34" s="51">
        <v>46482</v>
      </c>
      <c r="D34" s="83">
        <f t="shared" si="0"/>
        <v>14</v>
      </c>
      <c r="E34" s="83">
        <f t="shared" si="1"/>
        <v>14</v>
      </c>
      <c r="F34" s="58">
        <f t="shared" si="2"/>
        <v>0</v>
      </c>
      <c r="H34" s="77" t="s">
        <v>9</v>
      </c>
      <c r="I34" s="78">
        <v>25</v>
      </c>
      <c r="J34" s="78">
        <v>27</v>
      </c>
      <c r="K34" s="78">
        <v>30</v>
      </c>
      <c r="L34" s="79"/>
      <c r="M34" s="73"/>
    </row>
    <row r="35" spans="1:13" x14ac:dyDescent="0.2">
      <c r="A35" s="100"/>
      <c r="B35" s="51">
        <v>46573</v>
      </c>
      <c r="C35" s="51">
        <v>46615</v>
      </c>
      <c r="D35" s="83">
        <f t="shared" si="0"/>
        <v>42</v>
      </c>
      <c r="E35" s="83">
        <f t="shared" si="1"/>
        <v>42</v>
      </c>
      <c r="F35" s="58">
        <f t="shared" si="2"/>
        <v>0</v>
      </c>
    </row>
  </sheetData>
  <mergeCells count="7">
    <mergeCell ref="A26:A30"/>
    <mergeCell ref="A31:A35"/>
    <mergeCell ref="A5:A10"/>
    <mergeCell ref="J9:M9"/>
    <mergeCell ref="A11:A15"/>
    <mergeCell ref="A16:A20"/>
    <mergeCell ref="A21:A2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sheetPr>
  <dimension ref="A1"/>
  <sheetViews>
    <sheetView workbookViewId="0">
      <selection activeCell="J40" sqref="J40"/>
    </sheetView>
  </sheetViews>
  <sheetFormatPr baseColWidth="10" defaultRowHeight="12.75" x14ac:dyDescent="0.2"/>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16"/>
  <sheetViews>
    <sheetView workbookViewId="0"/>
  </sheetViews>
  <sheetFormatPr baseColWidth="10" defaultRowHeight="12.75" x14ac:dyDescent="0.2"/>
  <cols>
    <col min="1" max="1" width="45.42578125" bestFit="1" customWidth="1"/>
    <col min="2" max="7" width="18.85546875" customWidth="1"/>
    <col min="8" max="8" width="30.28515625" bestFit="1" customWidth="1"/>
    <col min="9" max="9" width="11.85546875" bestFit="1" customWidth="1"/>
    <col min="10" max="10" width="24.42578125" bestFit="1" customWidth="1"/>
    <col min="11" max="11" width="13" bestFit="1" customWidth="1"/>
    <col min="257" max="257" width="22.140625" bestFit="1" customWidth="1"/>
    <col min="258" max="258" width="13.85546875" bestFit="1" customWidth="1"/>
    <col min="259" max="259" width="13" bestFit="1" customWidth="1"/>
    <col min="260" max="260" width="8.42578125" bestFit="1" customWidth="1"/>
    <col min="264" max="264" width="30.28515625" bestFit="1" customWidth="1"/>
    <col min="265" max="265" width="11.85546875" bestFit="1" customWidth="1"/>
    <col min="267" max="267" width="13" bestFit="1" customWidth="1"/>
    <col min="513" max="513" width="22.140625" bestFit="1" customWidth="1"/>
    <col min="514" max="514" width="13.85546875" bestFit="1" customWidth="1"/>
    <col min="515" max="515" width="13" bestFit="1" customWidth="1"/>
    <col min="516" max="516" width="8.42578125" bestFit="1" customWidth="1"/>
    <col min="520" max="520" width="30.28515625" bestFit="1" customWidth="1"/>
    <col min="521" max="521" width="11.85546875" bestFit="1" customWidth="1"/>
    <col min="523" max="523" width="13" bestFit="1" customWidth="1"/>
    <col min="769" max="769" width="22.140625" bestFit="1" customWidth="1"/>
    <col min="770" max="770" width="13.85546875" bestFit="1" customWidth="1"/>
    <col min="771" max="771" width="13" bestFit="1" customWidth="1"/>
    <col min="772" max="772" width="8.42578125" bestFit="1" customWidth="1"/>
    <col min="776" max="776" width="30.28515625" bestFit="1" customWidth="1"/>
    <col min="777" max="777" width="11.85546875" bestFit="1" customWidth="1"/>
    <col min="779" max="779" width="13" bestFit="1" customWidth="1"/>
    <col min="1025" max="1025" width="22.140625" bestFit="1" customWidth="1"/>
    <col min="1026" max="1026" width="13.85546875" bestFit="1" customWidth="1"/>
    <col min="1027" max="1027" width="13" bestFit="1" customWidth="1"/>
    <col min="1028" max="1028" width="8.42578125" bestFit="1" customWidth="1"/>
    <col min="1032" max="1032" width="30.28515625" bestFit="1" customWidth="1"/>
    <col min="1033" max="1033" width="11.85546875" bestFit="1" customWidth="1"/>
    <col min="1035" max="1035" width="13" bestFit="1" customWidth="1"/>
    <col min="1281" max="1281" width="22.140625" bestFit="1" customWidth="1"/>
    <col min="1282" max="1282" width="13.85546875" bestFit="1" customWidth="1"/>
    <col min="1283" max="1283" width="13" bestFit="1" customWidth="1"/>
    <col min="1284" max="1284" width="8.42578125" bestFit="1" customWidth="1"/>
    <col min="1288" max="1288" width="30.28515625" bestFit="1" customWidth="1"/>
    <col min="1289" max="1289" width="11.85546875" bestFit="1" customWidth="1"/>
    <col min="1291" max="1291" width="13" bestFit="1" customWidth="1"/>
    <col min="1537" max="1537" width="22.140625" bestFit="1" customWidth="1"/>
    <col min="1538" max="1538" width="13.85546875" bestFit="1" customWidth="1"/>
    <col min="1539" max="1539" width="13" bestFit="1" customWidth="1"/>
    <col min="1540" max="1540" width="8.42578125" bestFit="1" customWidth="1"/>
    <col min="1544" max="1544" width="30.28515625" bestFit="1" customWidth="1"/>
    <col min="1545" max="1545" width="11.85546875" bestFit="1" customWidth="1"/>
    <col min="1547" max="1547" width="13" bestFit="1" customWidth="1"/>
    <col min="1793" max="1793" width="22.140625" bestFit="1" customWidth="1"/>
    <col min="1794" max="1794" width="13.85546875" bestFit="1" customWidth="1"/>
    <col min="1795" max="1795" width="13" bestFit="1" customWidth="1"/>
    <col min="1796" max="1796" width="8.42578125" bestFit="1" customWidth="1"/>
    <col min="1800" max="1800" width="30.28515625" bestFit="1" customWidth="1"/>
    <col min="1801" max="1801" width="11.85546875" bestFit="1" customWidth="1"/>
    <col min="1803" max="1803" width="13" bestFit="1" customWidth="1"/>
    <col min="2049" max="2049" width="22.140625" bestFit="1" customWidth="1"/>
    <col min="2050" max="2050" width="13.85546875" bestFit="1" customWidth="1"/>
    <col min="2051" max="2051" width="13" bestFit="1" customWidth="1"/>
    <col min="2052" max="2052" width="8.42578125" bestFit="1" customWidth="1"/>
    <col min="2056" max="2056" width="30.28515625" bestFit="1" customWidth="1"/>
    <col min="2057" max="2057" width="11.85546875" bestFit="1" customWidth="1"/>
    <col min="2059" max="2059" width="13" bestFit="1" customWidth="1"/>
    <col min="2305" max="2305" width="22.140625" bestFit="1" customWidth="1"/>
    <col min="2306" max="2306" width="13.85546875" bestFit="1" customWidth="1"/>
    <col min="2307" max="2307" width="13" bestFit="1" customWidth="1"/>
    <col min="2308" max="2308" width="8.42578125" bestFit="1" customWidth="1"/>
    <col min="2312" max="2312" width="30.28515625" bestFit="1" customWidth="1"/>
    <col min="2313" max="2313" width="11.85546875" bestFit="1" customWidth="1"/>
    <col min="2315" max="2315" width="13" bestFit="1" customWidth="1"/>
    <col min="2561" max="2561" width="22.140625" bestFit="1" customWidth="1"/>
    <col min="2562" max="2562" width="13.85546875" bestFit="1" customWidth="1"/>
    <col min="2563" max="2563" width="13" bestFit="1" customWidth="1"/>
    <col min="2564" max="2564" width="8.42578125" bestFit="1" customWidth="1"/>
    <col min="2568" max="2568" width="30.28515625" bestFit="1" customWidth="1"/>
    <col min="2569" max="2569" width="11.85546875" bestFit="1" customWidth="1"/>
    <col min="2571" max="2571" width="13" bestFit="1" customWidth="1"/>
    <col min="2817" max="2817" width="22.140625" bestFit="1" customWidth="1"/>
    <col min="2818" max="2818" width="13.85546875" bestFit="1" customWidth="1"/>
    <col min="2819" max="2819" width="13" bestFit="1" customWidth="1"/>
    <col min="2820" max="2820" width="8.42578125" bestFit="1" customWidth="1"/>
    <col min="2824" max="2824" width="30.28515625" bestFit="1" customWidth="1"/>
    <col min="2825" max="2825" width="11.85546875" bestFit="1" customWidth="1"/>
    <col min="2827" max="2827" width="13" bestFit="1" customWidth="1"/>
    <col min="3073" max="3073" width="22.140625" bestFit="1" customWidth="1"/>
    <col min="3074" max="3074" width="13.85546875" bestFit="1" customWidth="1"/>
    <col min="3075" max="3075" width="13" bestFit="1" customWidth="1"/>
    <col min="3076" max="3076" width="8.42578125" bestFit="1" customWidth="1"/>
    <col min="3080" max="3080" width="30.28515625" bestFit="1" customWidth="1"/>
    <col min="3081" max="3081" width="11.85546875" bestFit="1" customWidth="1"/>
    <col min="3083" max="3083" width="13" bestFit="1" customWidth="1"/>
    <col min="3329" max="3329" width="22.140625" bestFit="1" customWidth="1"/>
    <col min="3330" max="3330" width="13.85546875" bestFit="1" customWidth="1"/>
    <col min="3331" max="3331" width="13" bestFit="1" customWidth="1"/>
    <col min="3332" max="3332" width="8.42578125" bestFit="1" customWidth="1"/>
    <col min="3336" max="3336" width="30.28515625" bestFit="1" customWidth="1"/>
    <col min="3337" max="3337" width="11.85546875" bestFit="1" customWidth="1"/>
    <col min="3339" max="3339" width="13" bestFit="1" customWidth="1"/>
    <col min="3585" max="3585" width="22.140625" bestFit="1" customWidth="1"/>
    <col min="3586" max="3586" width="13.85546875" bestFit="1" customWidth="1"/>
    <col min="3587" max="3587" width="13" bestFit="1" customWidth="1"/>
    <col min="3588" max="3588" width="8.42578125" bestFit="1" customWidth="1"/>
    <col min="3592" max="3592" width="30.28515625" bestFit="1" customWidth="1"/>
    <col min="3593" max="3593" width="11.85546875" bestFit="1" customWidth="1"/>
    <col min="3595" max="3595" width="13" bestFit="1" customWidth="1"/>
    <col min="3841" max="3841" width="22.140625" bestFit="1" customWidth="1"/>
    <col min="3842" max="3842" width="13.85546875" bestFit="1" customWidth="1"/>
    <col min="3843" max="3843" width="13" bestFit="1" customWidth="1"/>
    <col min="3844" max="3844" width="8.42578125" bestFit="1" customWidth="1"/>
    <col min="3848" max="3848" width="30.28515625" bestFit="1" customWidth="1"/>
    <col min="3849" max="3849" width="11.85546875" bestFit="1" customWidth="1"/>
    <col min="3851" max="3851" width="13" bestFit="1" customWidth="1"/>
    <col min="4097" max="4097" width="22.140625" bestFit="1" customWidth="1"/>
    <col min="4098" max="4098" width="13.85546875" bestFit="1" customWidth="1"/>
    <col min="4099" max="4099" width="13" bestFit="1" customWidth="1"/>
    <col min="4100" max="4100" width="8.42578125" bestFit="1" customWidth="1"/>
    <col min="4104" max="4104" width="30.28515625" bestFit="1" customWidth="1"/>
    <col min="4105" max="4105" width="11.85546875" bestFit="1" customWidth="1"/>
    <col min="4107" max="4107" width="13" bestFit="1" customWidth="1"/>
    <col min="4353" max="4353" width="22.140625" bestFit="1" customWidth="1"/>
    <col min="4354" max="4354" width="13.85546875" bestFit="1" customWidth="1"/>
    <col min="4355" max="4355" width="13" bestFit="1" customWidth="1"/>
    <col min="4356" max="4356" width="8.42578125" bestFit="1" customWidth="1"/>
    <col min="4360" max="4360" width="30.28515625" bestFit="1" customWidth="1"/>
    <col min="4361" max="4361" width="11.85546875" bestFit="1" customWidth="1"/>
    <col min="4363" max="4363" width="13" bestFit="1" customWidth="1"/>
    <col min="4609" max="4609" width="22.140625" bestFit="1" customWidth="1"/>
    <col min="4610" max="4610" width="13.85546875" bestFit="1" customWidth="1"/>
    <col min="4611" max="4611" width="13" bestFit="1" customWidth="1"/>
    <col min="4612" max="4612" width="8.42578125" bestFit="1" customWidth="1"/>
    <col min="4616" max="4616" width="30.28515625" bestFit="1" customWidth="1"/>
    <col min="4617" max="4617" width="11.85546875" bestFit="1" customWidth="1"/>
    <col min="4619" max="4619" width="13" bestFit="1" customWidth="1"/>
    <col min="4865" max="4865" width="22.140625" bestFit="1" customWidth="1"/>
    <col min="4866" max="4866" width="13.85546875" bestFit="1" customWidth="1"/>
    <col min="4867" max="4867" width="13" bestFit="1" customWidth="1"/>
    <col min="4868" max="4868" width="8.42578125" bestFit="1" customWidth="1"/>
    <col min="4872" max="4872" width="30.28515625" bestFit="1" customWidth="1"/>
    <col min="4873" max="4873" width="11.85546875" bestFit="1" customWidth="1"/>
    <col min="4875" max="4875" width="13" bestFit="1" customWidth="1"/>
    <col min="5121" max="5121" width="22.140625" bestFit="1" customWidth="1"/>
    <col min="5122" max="5122" width="13.85546875" bestFit="1" customWidth="1"/>
    <col min="5123" max="5123" width="13" bestFit="1" customWidth="1"/>
    <col min="5124" max="5124" width="8.42578125" bestFit="1" customWidth="1"/>
    <col min="5128" max="5128" width="30.28515625" bestFit="1" customWidth="1"/>
    <col min="5129" max="5129" width="11.85546875" bestFit="1" customWidth="1"/>
    <col min="5131" max="5131" width="13" bestFit="1" customWidth="1"/>
    <col min="5377" max="5377" width="22.140625" bestFit="1" customWidth="1"/>
    <col min="5378" max="5378" width="13.85546875" bestFit="1" customWidth="1"/>
    <col min="5379" max="5379" width="13" bestFit="1" customWidth="1"/>
    <col min="5380" max="5380" width="8.42578125" bestFit="1" customWidth="1"/>
    <col min="5384" max="5384" width="30.28515625" bestFit="1" customWidth="1"/>
    <col min="5385" max="5385" width="11.85546875" bestFit="1" customWidth="1"/>
    <col min="5387" max="5387" width="13" bestFit="1" customWidth="1"/>
    <col min="5633" max="5633" width="22.140625" bestFit="1" customWidth="1"/>
    <col min="5634" max="5634" width="13.85546875" bestFit="1" customWidth="1"/>
    <col min="5635" max="5635" width="13" bestFit="1" customWidth="1"/>
    <col min="5636" max="5636" width="8.42578125" bestFit="1" customWidth="1"/>
    <col min="5640" max="5640" width="30.28515625" bestFit="1" customWidth="1"/>
    <col min="5641" max="5641" width="11.85546875" bestFit="1" customWidth="1"/>
    <col min="5643" max="5643" width="13" bestFit="1" customWidth="1"/>
    <col min="5889" max="5889" width="22.140625" bestFit="1" customWidth="1"/>
    <col min="5890" max="5890" width="13.85546875" bestFit="1" customWidth="1"/>
    <col min="5891" max="5891" width="13" bestFit="1" customWidth="1"/>
    <col min="5892" max="5892" width="8.42578125" bestFit="1" customWidth="1"/>
    <col min="5896" max="5896" width="30.28515625" bestFit="1" customWidth="1"/>
    <col min="5897" max="5897" width="11.85546875" bestFit="1" customWidth="1"/>
    <col min="5899" max="5899" width="13" bestFit="1" customWidth="1"/>
    <col min="6145" max="6145" width="22.140625" bestFit="1" customWidth="1"/>
    <col min="6146" max="6146" width="13.85546875" bestFit="1" customWidth="1"/>
    <col min="6147" max="6147" width="13" bestFit="1" customWidth="1"/>
    <col min="6148" max="6148" width="8.42578125" bestFit="1" customWidth="1"/>
    <col min="6152" max="6152" width="30.28515625" bestFit="1" customWidth="1"/>
    <col min="6153" max="6153" width="11.85546875" bestFit="1" customWidth="1"/>
    <col min="6155" max="6155" width="13" bestFit="1" customWidth="1"/>
    <col min="6401" max="6401" width="22.140625" bestFit="1" customWidth="1"/>
    <col min="6402" max="6402" width="13.85546875" bestFit="1" customWidth="1"/>
    <col min="6403" max="6403" width="13" bestFit="1" customWidth="1"/>
    <col min="6404" max="6404" width="8.42578125" bestFit="1" customWidth="1"/>
    <col min="6408" max="6408" width="30.28515625" bestFit="1" customWidth="1"/>
    <col min="6409" max="6409" width="11.85546875" bestFit="1" customWidth="1"/>
    <col min="6411" max="6411" width="13" bestFit="1" customWidth="1"/>
    <col min="6657" max="6657" width="22.140625" bestFit="1" customWidth="1"/>
    <col min="6658" max="6658" width="13.85546875" bestFit="1" customWidth="1"/>
    <col min="6659" max="6659" width="13" bestFit="1" customWidth="1"/>
    <col min="6660" max="6660" width="8.42578125" bestFit="1" customWidth="1"/>
    <col min="6664" max="6664" width="30.28515625" bestFit="1" customWidth="1"/>
    <col min="6665" max="6665" width="11.85546875" bestFit="1" customWidth="1"/>
    <col min="6667" max="6667" width="13" bestFit="1" customWidth="1"/>
    <col min="6913" max="6913" width="22.140625" bestFit="1" customWidth="1"/>
    <col min="6914" max="6914" width="13.85546875" bestFit="1" customWidth="1"/>
    <col min="6915" max="6915" width="13" bestFit="1" customWidth="1"/>
    <col min="6916" max="6916" width="8.42578125" bestFit="1" customWidth="1"/>
    <col min="6920" max="6920" width="30.28515625" bestFit="1" customWidth="1"/>
    <col min="6921" max="6921" width="11.85546875" bestFit="1" customWidth="1"/>
    <col min="6923" max="6923" width="13" bestFit="1" customWidth="1"/>
    <col min="7169" max="7169" width="22.140625" bestFit="1" customWidth="1"/>
    <col min="7170" max="7170" width="13.85546875" bestFit="1" customWidth="1"/>
    <col min="7171" max="7171" width="13" bestFit="1" customWidth="1"/>
    <col min="7172" max="7172" width="8.42578125" bestFit="1" customWidth="1"/>
    <col min="7176" max="7176" width="30.28515625" bestFit="1" customWidth="1"/>
    <col min="7177" max="7177" width="11.85546875" bestFit="1" customWidth="1"/>
    <col min="7179" max="7179" width="13" bestFit="1" customWidth="1"/>
    <col min="7425" max="7425" width="22.140625" bestFit="1" customWidth="1"/>
    <col min="7426" max="7426" width="13.85546875" bestFit="1" customWidth="1"/>
    <col min="7427" max="7427" width="13" bestFit="1" customWidth="1"/>
    <col min="7428" max="7428" width="8.42578125" bestFit="1" customWidth="1"/>
    <col min="7432" max="7432" width="30.28515625" bestFit="1" customWidth="1"/>
    <col min="7433" max="7433" width="11.85546875" bestFit="1" customWidth="1"/>
    <col min="7435" max="7435" width="13" bestFit="1" customWidth="1"/>
    <col min="7681" max="7681" width="22.140625" bestFit="1" customWidth="1"/>
    <col min="7682" max="7682" width="13.85546875" bestFit="1" customWidth="1"/>
    <col min="7683" max="7683" width="13" bestFit="1" customWidth="1"/>
    <col min="7684" max="7684" width="8.42578125" bestFit="1" customWidth="1"/>
    <col min="7688" max="7688" width="30.28515625" bestFit="1" customWidth="1"/>
    <col min="7689" max="7689" width="11.85546875" bestFit="1" customWidth="1"/>
    <col min="7691" max="7691" width="13" bestFit="1" customWidth="1"/>
    <col min="7937" max="7937" width="22.140625" bestFit="1" customWidth="1"/>
    <col min="7938" max="7938" width="13.85546875" bestFit="1" customWidth="1"/>
    <col min="7939" max="7939" width="13" bestFit="1" customWidth="1"/>
    <col min="7940" max="7940" width="8.42578125" bestFit="1" customWidth="1"/>
    <col min="7944" max="7944" width="30.28515625" bestFit="1" customWidth="1"/>
    <col min="7945" max="7945" width="11.85546875" bestFit="1" customWidth="1"/>
    <col min="7947" max="7947" width="13" bestFit="1" customWidth="1"/>
    <col min="8193" max="8193" width="22.140625" bestFit="1" customWidth="1"/>
    <col min="8194" max="8194" width="13.85546875" bestFit="1" customWidth="1"/>
    <col min="8195" max="8195" width="13" bestFit="1" customWidth="1"/>
    <col min="8196" max="8196" width="8.42578125" bestFit="1" customWidth="1"/>
    <col min="8200" max="8200" width="30.28515625" bestFit="1" customWidth="1"/>
    <col min="8201" max="8201" width="11.85546875" bestFit="1" customWidth="1"/>
    <col min="8203" max="8203" width="13" bestFit="1" customWidth="1"/>
    <col min="8449" max="8449" width="22.140625" bestFit="1" customWidth="1"/>
    <col min="8450" max="8450" width="13.85546875" bestFit="1" customWidth="1"/>
    <col min="8451" max="8451" width="13" bestFit="1" customWidth="1"/>
    <col min="8452" max="8452" width="8.42578125" bestFit="1" customWidth="1"/>
    <col min="8456" max="8456" width="30.28515625" bestFit="1" customWidth="1"/>
    <col min="8457" max="8457" width="11.85546875" bestFit="1" customWidth="1"/>
    <col min="8459" max="8459" width="13" bestFit="1" customWidth="1"/>
    <col min="8705" max="8705" width="22.140625" bestFit="1" customWidth="1"/>
    <col min="8706" max="8706" width="13.85546875" bestFit="1" customWidth="1"/>
    <col min="8707" max="8707" width="13" bestFit="1" customWidth="1"/>
    <col min="8708" max="8708" width="8.42578125" bestFit="1" customWidth="1"/>
    <col min="8712" max="8712" width="30.28515625" bestFit="1" customWidth="1"/>
    <col min="8713" max="8713" width="11.85546875" bestFit="1" customWidth="1"/>
    <col min="8715" max="8715" width="13" bestFit="1" customWidth="1"/>
    <col min="8961" max="8961" width="22.140625" bestFit="1" customWidth="1"/>
    <col min="8962" max="8962" width="13.85546875" bestFit="1" customWidth="1"/>
    <col min="8963" max="8963" width="13" bestFit="1" customWidth="1"/>
    <col min="8964" max="8964" width="8.42578125" bestFit="1" customWidth="1"/>
    <col min="8968" max="8968" width="30.28515625" bestFit="1" customWidth="1"/>
    <col min="8969" max="8969" width="11.85546875" bestFit="1" customWidth="1"/>
    <col min="8971" max="8971" width="13" bestFit="1" customWidth="1"/>
    <col min="9217" max="9217" width="22.140625" bestFit="1" customWidth="1"/>
    <col min="9218" max="9218" width="13.85546875" bestFit="1" customWidth="1"/>
    <col min="9219" max="9219" width="13" bestFit="1" customWidth="1"/>
    <col min="9220" max="9220" width="8.42578125" bestFit="1" customWidth="1"/>
    <col min="9224" max="9224" width="30.28515625" bestFit="1" customWidth="1"/>
    <col min="9225" max="9225" width="11.85546875" bestFit="1" customWidth="1"/>
    <col min="9227" max="9227" width="13" bestFit="1" customWidth="1"/>
    <col min="9473" max="9473" width="22.140625" bestFit="1" customWidth="1"/>
    <col min="9474" max="9474" width="13.85546875" bestFit="1" customWidth="1"/>
    <col min="9475" max="9475" width="13" bestFit="1" customWidth="1"/>
    <col min="9476" max="9476" width="8.42578125" bestFit="1" customWidth="1"/>
    <col min="9480" max="9480" width="30.28515625" bestFit="1" customWidth="1"/>
    <col min="9481" max="9481" width="11.85546875" bestFit="1" customWidth="1"/>
    <col min="9483" max="9483" width="13" bestFit="1" customWidth="1"/>
    <col min="9729" max="9729" width="22.140625" bestFit="1" customWidth="1"/>
    <col min="9730" max="9730" width="13.85546875" bestFit="1" customWidth="1"/>
    <col min="9731" max="9731" width="13" bestFit="1" customWidth="1"/>
    <col min="9732" max="9732" width="8.42578125" bestFit="1" customWidth="1"/>
    <col min="9736" max="9736" width="30.28515625" bestFit="1" customWidth="1"/>
    <col min="9737" max="9737" width="11.85546875" bestFit="1" customWidth="1"/>
    <col min="9739" max="9739" width="13" bestFit="1" customWidth="1"/>
    <col min="9985" max="9985" width="22.140625" bestFit="1" customWidth="1"/>
    <col min="9986" max="9986" width="13.85546875" bestFit="1" customWidth="1"/>
    <col min="9987" max="9987" width="13" bestFit="1" customWidth="1"/>
    <col min="9988" max="9988" width="8.42578125" bestFit="1" customWidth="1"/>
    <col min="9992" max="9992" width="30.28515625" bestFit="1" customWidth="1"/>
    <col min="9993" max="9993" width="11.85546875" bestFit="1" customWidth="1"/>
    <col min="9995" max="9995" width="13" bestFit="1" customWidth="1"/>
    <col min="10241" max="10241" width="22.140625" bestFit="1" customWidth="1"/>
    <col min="10242" max="10242" width="13.85546875" bestFit="1" customWidth="1"/>
    <col min="10243" max="10243" width="13" bestFit="1" customWidth="1"/>
    <col min="10244" max="10244" width="8.42578125" bestFit="1" customWidth="1"/>
    <col min="10248" max="10248" width="30.28515625" bestFit="1" customWidth="1"/>
    <col min="10249" max="10249" width="11.85546875" bestFit="1" customWidth="1"/>
    <col min="10251" max="10251" width="13" bestFit="1" customWidth="1"/>
    <col min="10497" max="10497" width="22.140625" bestFit="1" customWidth="1"/>
    <col min="10498" max="10498" width="13.85546875" bestFit="1" customWidth="1"/>
    <col min="10499" max="10499" width="13" bestFit="1" customWidth="1"/>
    <col min="10500" max="10500" width="8.42578125" bestFit="1" customWidth="1"/>
    <col min="10504" max="10504" width="30.28515625" bestFit="1" customWidth="1"/>
    <col min="10505" max="10505" width="11.85546875" bestFit="1" customWidth="1"/>
    <col min="10507" max="10507" width="13" bestFit="1" customWidth="1"/>
    <col min="10753" max="10753" width="22.140625" bestFit="1" customWidth="1"/>
    <col min="10754" max="10754" width="13.85546875" bestFit="1" customWidth="1"/>
    <col min="10755" max="10755" width="13" bestFit="1" customWidth="1"/>
    <col min="10756" max="10756" width="8.42578125" bestFit="1" customWidth="1"/>
    <col min="10760" max="10760" width="30.28515625" bestFit="1" customWidth="1"/>
    <col min="10761" max="10761" width="11.85546875" bestFit="1" customWidth="1"/>
    <col min="10763" max="10763" width="13" bestFit="1" customWidth="1"/>
    <col min="11009" max="11009" width="22.140625" bestFit="1" customWidth="1"/>
    <col min="11010" max="11010" width="13.85546875" bestFit="1" customWidth="1"/>
    <col min="11011" max="11011" width="13" bestFit="1" customWidth="1"/>
    <col min="11012" max="11012" width="8.42578125" bestFit="1" customWidth="1"/>
    <col min="11016" max="11016" width="30.28515625" bestFit="1" customWidth="1"/>
    <col min="11017" max="11017" width="11.85546875" bestFit="1" customWidth="1"/>
    <col min="11019" max="11019" width="13" bestFit="1" customWidth="1"/>
    <col min="11265" max="11265" width="22.140625" bestFit="1" customWidth="1"/>
    <col min="11266" max="11266" width="13.85546875" bestFit="1" customWidth="1"/>
    <col min="11267" max="11267" width="13" bestFit="1" customWidth="1"/>
    <col min="11268" max="11268" width="8.42578125" bestFit="1" customWidth="1"/>
    <col min="11272" max="11272" width="30.28515625" bestFit="1" customWidth="1"/>
    <col min="11273" max="11273" width="11.85546875" bestFit="1" customWidth="1"/>
    <col min="11275" max="11275" width="13" bestFit="1" customWidth="1"/>
    <col min="11521" max="11521" width="22.140625" bestFit="1" customWidth="1"/>
    <col min="11522" max="11522" width="13.85546875" bestFit="1" customWidth="1"/>
    <col min="11523" max="11523" width="13" bestFit="1" customWidth="1"/>
    <col min="11524" max="11524" width="8.42578125" bestFit="1" customWidth="1"/>
    <col min="11528" max="11528" width="30.28515625" bestFit="1" customWidth="1"/>
    <col min="11529" max="11529" width="11.85546875" bestFit="1" customWidth="1"/>
    <col min="11531" max="11531" width="13" bestFit="1" customWidth="1"/>
    <col min="11777" max="11777" width="22.140625" bestFit="1" customWidth="1"/>
    <col min="11778" max="11778" width="13.85546875" bestFit="1" customWidth="1"/>
    <col min="11779" max="11779" width="13" bestFit="1" customWidth="1"/>
    <col min="11780" max="11780" width="8.42578125" bestFit="1" customWidth="1"/>
    <col min="11784" max="11784" width="30.28515625" bestFit="1" customWidth="1"/>
    <col min="11785" max="11785" width="11.85546875" bestFit="1" customWidth="1"/>
    <col min="11787" max="11787" width="13" bestFit="1" customWidth="1"/>
    <col min="12033" max="12033" width="22.140625" bestFit="1" customWidth="1"/>
    <col min="12034" max="12034" width="13.85546875" bestFit="1" customWidth="1"/>
    <col min="12035" max="12035" width="13" bestFit="1" customWidth="1"/>
    <col min="12036" max="12036" width="8.42578125" bestFit="1" customWidth="1"/>
    <col min="12040" max="12040" width="30.28515625" bestFit="1" customWidth="1"/>
    <col min="12041" max="12041" width="11.85546875" bestFit="1" customWidth="1"/>
    <col min="12043" max="12043" width="13" bestFit="1" customWidth="1"/>
    <col min="12289" max="12289" width="22.140625" bestFit="1" customWidth="1"/>
    <col min="12290" max="12290" width="13.85546875" bestFit="1" customWidth="1"/>
    <col min="12291" max="12291" width="13" bestFit="1" customWidth="1"/>
    <col min="12292" max="12292" width="8.42578125" bestFit="1" customWidth="1"/>
    <col min="12296" max="12296" width="30.28515625" bestFit="1" customWidth="1"/>
    <col min="12297" max="12297" width="11.85546875" bestFit="1" customWidth="1"/>
    <col min="12299" max="12299" width="13" bestFit="1" customWidth="1"/>
    <col min="12545" max="12545" width="22.140625" bestFit="1" customWidth="1"/>
    <col min="12546" max="12546" width="13.85546875" bestFit="1" customWidth="1"/>
    <col min="12547" max="12547" width="13" bestFit="1" customWidth="1"/>
    <col min="12548" max="12548" width="8.42578125" bestFit="1" customWidth="1"/>
    <col min="12552" max="12552" width="30.28515625" bestFit="1" customWidth="1"/>
    <col min="12553" max="12553" width="11.85546875" bestFit="1" customWidth="1"/>
    <col min="12555" max="12555" width="13" bestFit="1" customWidth="1"/>
    <col min="12801" max="12801" width="22.140625" bestFit="1" customWidth="1"/>
    <col min="12802" max="12802" width="13.85546875" bestFit="1" customWidth="1"/>
    <col min="12803" max="12803" width="13" bestFit="1" customWidth="1"/>
    <col min="12804" max="12804" width="8.42578125" bestFit="1" customWidth="1"/>
    <col min="12808" max="12808" width="30.28515625" bestFit="1" customWidth="1"/>
    <col min="12809" max="12809" width="11.85546875" bestFit="1" customWidth="1"/>
    <col min="12811" max="12811" width="13" bestFit="1" customWidth="1"/>
    <col min="13057" max="13057" width="22.140625" bestFit="1" customWidth="1"/>
    <col min="13058" max="13058" width="13.85546875" bestFit="1" customWidth="1"/>
    <col min="13059" max="13059" width="13" bestFit="1" customWidth="1"/>
    <col min="13060" max="13060" width="8.42578125" bestFit="1" customWidth="1"/>
    <col min="13064" max="13064" width="30.28515625" bestFit="1" customWidth="1"/>
    <col min="13065" max="13065" width="11.85546875" bestFit="1" customWidth="1"/>
    <col min="13067" max="13067" width="13" bestFit="1" customWidth="1"/>
    <col min="13313" max="13313" width="22.140625" bestFit="1" customWidth="1"/>
    <col min="13314" max="13314" width="13.85546875" bestFit="1" customWidth="1"/>
    <col min="13315" max="13315" width="13" bestFit="1" customWidth="1"/>
    <col min="13316" max="13316" width="8.42578125" bestFit="1" customWidth="1"/>
    <col min="13320" max="13320" width="30.28515625" bestFit="1" customWidth="1"/>
    <col min="13321" max="13321" width="11.85546875" bestFit="1" customWidth="1"/>
    <col min="13323" max="13323" width="13" bestFit="1" customWidth="1"/>
    <col min="13569" max="13569" width="22.140625" bestFit="1" customWidth="1"/>
    <col min="13570" max="13570" width="13.85546875" bestFit="1" customWidth="1"/>
    <col min="13571" max="13571" width="13" bestFit="1" customWidth="1"/>
    <col min="13572" max="13572" width="8.42578125" bestFit="1" customWidth="1"/>
    <col min="13576" max="13576" width="30.28515625" bestFit="1" customWidth="1"/>
    <col min="13577" max="13577" width="11.85546875" bestFit="1" customWidth="1"/>
    <col min="13579" max="13579" width="13" bestFit="1" customWidth="1"/>
    <col min="13825" max="13825" width="22.140625" bestFit="1" customWidth="1"/>
    <col min="13826" max="13826" width="13.85546875" bestFit="1" customWidth="1"/>
    <col min="13827" max="13827" width="13" bestFit="1" customWidth="1"/>
    <col min="13828" max="13828" width="8.42578125" bestFit="1" customWidth="1"/>
    <col min="13832" max="13832" width="30.28515625" bestFit="1" customWidth="1"/>
    <col min="13833" max="13833" width="11.85546875" bestFit="1" customWidth="1"/>
    <col min="13835" max="13835" width="13" bestFit="1" customWidth="1"/>
    <col min="14081" max="14081" width="22.140625" bestFit="1" customWidth="1"/>
    <col min="14082" max="14082" width="13.85546875" bestFit="1" customWidth="1"/>
    <col min="14083" max="14083" width="13" bestFit="1" customWidth="1"/>
    <col min="14084" max="14084" width="8.42578125" bestFit="1" customWidth="1"/>
    <col min="14088" max="14088" width="30.28515625" bestFit="1" customWidth="1"/>
    <col min="14089" max="14089" width="11.85546875" bestFit="1" customWidth="1"/>
    <col min="14091" max="14091" width="13" bestFit="1" customWidth="1"/>
    <col min="14337" max="14337" width="22.140625" bestFit="1" customWidth="1"/>
    <col min="14338" max="14338" width="13.85546875" bestFit="1" customWidth="1"/>
    <col min="14339" max="14339" width="13" bestFit="1" customWidth="1"/>
    <col min="14340" max="14340" width="8.42578125" bestFit="1" customWidth="1"/>
    <col min="14344" max="14344" width="30.28515625" bestFit="1" customWidth="1"/>
    <col min="14345" max="14345" width="11.85546875" bestFit="1" customWidth="1"/>
    <col min="14347" max="14347" width="13" bestFit="1" customWidth="1"/>
    <col min="14593" max="14593" width="22.140625" bestFit="1" customWidth="1"/>
    <col min="14594" max="14594" width="13.85546875" bestFit="1" customWidth="1"/>
    <col min="14595" max="14595" width="13" bestFit="1" customWidth="1"/>
    <col min="14596" max="14596" width="8.42578125" bestFit="1" customWidth="1"/>
    <col min="14600" max="14600" width="30.28515625" bestFit="1" customWidth="1"/>
    <col min="14601" max="14601" width="11.85546875" bestFit="1" customWidth="1"/>
    <col min="14603" max="14603" width="13" bestFit="1" customWidth="1"/>
    <col min="14849" max="14849" width="22.140625" bestFit="1" customWidth="1"/>
    <col min="14850" max="14850" width="13.85546875" bestFit="1" customWidth="1"/>
    <col min="14851" max="14851" width="13" bestFit="1" customWidth="1"/>
    <col min="14852" max="14852" width="8.42578125" bestFit="1" customWidth="1"/>
    <col min="14856" max="14856" width="30.28515625" bestFit="1" customWidth="1"/>
    <col min="14857" max="14857" width="11.85546875" bestFit="1" customWidth="1"/>
    <col min="14859" max="14859" width="13" bestFit="1" customWidth="1"/>
    <col min="15105" max="15105" width="22.140625" bestFit="1" customWidth="1"/>
    <col min="15106" max="15106" width="13.85546875" bestFit="1" customWidth="1"/>
    <col min="15107" max="15107" width="13" bestFit="1" customWidth="1"/>
    <col min="15108" max="15108" width="8.42578125" bestFit="1" customWidth="1"/>
    <col min="15112" max="15112" width="30.28515625" bestFit="1" customWidth="1"/>
    <col min="15113" max="15113" width="11.85546875" bestFit="1" customWidth="1"/>
    <col min="15115" max="15115" width="13" bestFit="1" customWidth="1"/>
    <col min="15361" max="15361" width="22.140625" bestFit="1" customWidth="1"/>
    <col min="15362" max="15362" width="13.85546875" bestFit="1" customWidth="1"/>
    <col min="15363" max="15363" width="13" bestFit="1" customWidth="1"/>
    <col min="15364" max="15364" width="8.42578125" bestFit="1" customWidth="1"/>
    <col min="15368" max="15368" width="30.28515625" bestFit="1" customWidth="1"/>
    <col min="15369" max="15369" width="11.85546875" bestFit="1" customWidth="1"/>
    <col min="15371" max="15371" width="13" bestFit="1" customWidth="1"/>
    <col min="15617" max="15617" width="22.140625" bestFit="1" customWidth="1"/>
    <col min="15618" max="15618" width="13.85546875" bestFit="1" customWidth="1"/>
    <col min="15619" max="15619" width="13" bestFit="1" customWidth="1"/>
    <col min="15620" max="15620" width="8.42578125" bestFit="1" customWidth="1"/>
    <col min="15624" max="15624" width="30.28515625" bestFit="1" customWidth="1"/>
    <col min="15625" max="15625" width="11.85546875" bestFit="1" customWidth="1"/>
    <col min="15627" max="15627" width="13" bestFit="1" customWidth="1"/>
    <col min="15873" max="15873" width="22.140625" bestFit="1" customWidth="1"/>
    <col min="15874" max="15874" width="13.85546875" bestFit="1" customWidth="1"/>
    <col min="15875" max="15875" width="13" bestFit="1" customWidth="1"/>
    <col min="15876" max="15876" width="8.42578125" bestFit="1" customWidth="1"/>
    <col min="15880" max="15880" width="30.28515625" bestFit="1" customWidth="1"/>
    <col min="15881" max="15881" width="11.85546875" bestFit="1" customWidth="1"/>
    <col min="15883" max="15883" width="13" bestFit="1" customWidth="1"/>
    <col min="16129" max="16129" width="22.140625" bestFit="1" customWidth="1"/>
    <col min="16130" max="16130" width="13.85546875" bestFit="1" customWidth="1"/>
    <col min="16131" max="16131" width="13" bestFit="1" customWidth="1"/>
    <col min="16132" max="16132" width="8.42578125" bestFit="1" customWidth="1"/>
    <col min="16136" max="16136" width="30.28515625" bestFit="1" customWidth="1"/>
    <col min="16137" max="16137" width="11.85546875" bestFit="1" customWidth="1"/>
    <col min="16139" max="16139" width="13" bestFit="1" customWidth="1"/>
  </cols>
  <sheetData>
    <row r="1" spans="1:12" x14ac:dyDescent="0.2">
      <c r="A1" s="4" t="s">
        <v>13</v>
      </c>
    </row>
    <row r="2" spans="1:12" ht="25.5" x14ac:dyDescent="0.2">
      <c r="A2" s="13" t="s">
        <v>27</v>
      </c>
      <c r="B2" s="14">
        <v>0.8085</v>
      </c>
      <c r="I2" s="6"/>
    </row>
    <row r="3" spans="1:12" x14ac:dyDescent="0.2">
      <c r="A3" s="5" t="s">
        <v>17</v>
      </c>
      <c r="B3" s="14">
        <v>1.5</v>
      </c>
      <c r="I3" s="6"/>
    </row>
    <row r="4" spans="1:12" x14ac:dyDescent="0.2">
      <c r="A4" s="5" t="s">
        <v>18</v>
      </c>
      <c r="B4" s="14">
        <v>2</v>
      </c>
      <c r="I4" s="6"/>
    </row>
    <row r="5" spans="1:12" x14ac:dyDescent="0.2">
      <c r="A5" s="5" t="s">
        <v>28</v>
      </c>
      <c r="B5" s="15">
        <v>1.5</v>
      </c>
      <c r="I5" s="12"/>
    </row>
    <row r="6" spans="1:12" x14ac:dyDescent="0.2">
      <c r="H6" s="9"/>
      <c r="I6" s="9"/>
      <c r="J6" s="9"/>
    </row>
    <row r="8" spans="1:12" x14ac:dyDescent="0.2">
      <c r="A8" s="7"/>
      <c r="B8" s="5" t="s">
        <v>19</v>
      </c>
      <c r="C8" s="5" t="s">
        <v>20</v>
      </c>
      <c r="D8" s="5" t="s">
        <v>21</v>
      </c>
      <c r="E8" s="5" t="s">
        <v>29</v>
      </c>
      <c r="F8" s="5" t="s">
        <v>30</v>
      </c>
      <c r="G8" s="5" t="s">
        <v>22</v>
      </c>
    </row>
    <row r="9" spans="1:12" x14ac:dyDescent="0.2">
      <c r="A9" s="5" t="s">
        <v>14</v>
      </c>
      <c r="B9" s="14">
        <v>42</v>
      </c>
      <c r="C9" s="10" t="s">
        <v>23</v>
      </c>
      <c r="D9" s="8">
        <v>1</v>
      </c>
      <c r="E9" s="20">
        <f>1/B9</f>
        <v>2.3809523809523808E-2</v>
      </c>
      <c r="F9" s="20">
        <f>+E9*$B$2</f>
        <v>1.925E-2</v>
      </c>
      <c r="G9" s="20">
        <f>+E9*B3</f>
        <v>3.5714285714285712E-2</v>
      </c>
    </row>
    <row r="10" spans="1:12" x14ac:dyDescent="0.2">
      <c r="A10" s="5" t="s">
        <v>16</v>
      </c>
      <c r="B10" s="14">
        <v>42</v>
      </c>
      <c r="C10" s="10" t="s">
        <v>23</v>
      </c>
      <c r="D10" s="8">
        <v>1</v>
      </c>
      <c r="E10" s="20">
        <f>1/B10</f>
        <v>2.3809523809523808E-2</v>
      </c>
      <c r="F10" s="20">
        <f t="shared" ref="F10:F11" si="0">+E10*$B$2</f>
        <v>1.925E-2</v>
      </c>
      <c r="G10" s="20">
        <f>+E10*B4</f>
        <v>4.7619047619047616E-2</v>
      </c>
    </row>
    <row r="11" spans="1:12" x14ac:dyDescent="0.2">
      <c r="A11" s="5" t="s">
        <v>15</v>
      </c>
      <c r="B11" s="14">
        <v>28</v>
      </c>
      <c r="C11" s="10" t="s">
        <v>24</v>
      </c>
      <c r="D11" s="8">
        <v>1</v>
      </c>
      <c r="E11" s="20">
        <f>+G11/B3</f>
        <v>2.3809523809523808E-2</v>
      </c>
      <c r="F11" s="20">
        <f t="shared" si="0"/>
        <v>1.925E-2</v>
      </c>
      <c r="G11" s="20">
        <f>1/B11</f>
        <v>3.5714285714285712E-2</v>
      </c>
    </row>
    <row r="12" spans="1:12" x14ac:dyDescent="0.2">
      <c r="I12" s="4"/>
      <c r="K12" s="11"/>
      <c r="L12" s="4"/>
    </row>
    <row r="13" spans="1:12" x14ac:dyDescent="0.2">
      <c r="A13" s="7"/>
      <c r="B13" s="5" t="s">
        <v>19</v>
      </c>
      <c r="C13" s="16" t="s">
        <v>20</v>
      </c>
      <c r="D13" s="16" t="s">
        <v>21</v>
      </c>
      <c r="E13" s="5" t="s">
        <v>19</v>
      </c>
      <c r="F13" s="5" t="s">
        <v>20</v>
      </c>
    </row>
    <row r="14" spans="1:12" x14ac:dyDescent="0.2">
      <c r="A14" s="5" t="s">
        <v>14</v>
      </c>
      <c r="B14" s="6">
        <v>42</v>
      </c>
      <c r="C14" s="6" t="s">
        <v>25</v>
      </c>
      <c r="D14" s="17">
        <f>+B14*IF(C14="Lektionen",G9,IF(C14="Stunden (38 Wochen)",E9*80.85%,E9))</f>
        <v>1</v>
      </c>
      <c r="E14" s="18">
        <f>+B14*IF(C14="Stunden (52 Wochen)",1/B3,IF(C14="Stunden (38 Wochen)",1/B3*$B$2,B3))</f>
        <v>28</v>
      </c>
      <c r="F14" s="19" t="str">
        <f>IF(C14="Lektionen","Stunden (52 Wochen)","Lektionen")</f>
        <v>Lektionen</v>
      </c>
    </row>
    <row r="15" spans="1:12" x14ac:dyDescent="0.2">
      <c r="A15" s="5" t="s">
        <v>16</v>
      </c>
      <c r="B15" s="6">
        <v>42</v>
      </c>
      <c r="C15" s="6" t="s">
        <v>25</v>
      </c>
      <c r="D15" s="17">
        <f>+B15*IF(C15="Lektionen",G10,IF(C15="Stunden (38 Wochen)",E10*80.85%,E10))</f>
        <v>1</v>
      </c>
      <c r="E15" s="18">
        <f>+B15*IF(C15="Stunden (52 Wochen)",1/B4,IF(C15="Stunden (38 Wochen)",1/B4*$B$2,B4))</f>
        <v>21</v>
      </c>
      <c r="F15" s="19" t="str">
        <f>IF(C15="Lektionen","Stunden (52 Wochen)","Lektionen")</f>
        <v>Lektionen</v>
      </c>
    </row>
    <row r="16" spans="1:12" x14ac:dyDescent="0.2">
      <c r="A16" s="5" t="s">
        <v>15</v>
      </c>
      <c r="B16" s="6">
        <v>42</v>
      </c>
      <c r="C16" s="6" t="s">
        <v>26</v>
      </c>
      <c r="D16" s="17">
        <f>+B16*IF(C16="Lektionen",G11,IF(C16="Stunden (38 Wochen)",E11*80.85%,E11))</f>
        <v>0.8085</v>
      </c>
      <c r="E16" s="18">
        <f>+B16*IF(C16="Stunden (52 Wochen)",1/B5,IF(C16="Stunden (38 Wochen)",1/B5*$B$2,B5))</f>
        <v>22.637999999999998</v>
      </c>
      <c r="F16" s="19" t="str">
        <f>IF(C16="Lektionen","Stunden (52 Wochen)","Lektionen")</f>
        <v>Lektionen</v>
      </c>
    </row>
  </sheetData>
  <dataValidations count="2">
    <dataValidation type="list" allowBlank="1" showInputMessage="1" showErrorMessage="1" sqref="WVR983041:WVR983042 JF9:JF10 TB9:TB10 ACX9:ACX10 AMT9:AMT10 AWP9:AWP10 BGL9:BGL10 BQH9:BQH10 CAD9:CAD10 CJZ9:CJZ10 CTV9:CTV10 DDR9:DDR10 DNN9:DNN10 DXJ9:DXJ10 EHF9:EHF10 ERB9:ERB10 FAX9:FAX10 FKT9:FKT10 FUP9:FUP10 GEL9:GEL10 GOH9:GOH10 GYD9:GYD10 HHZ9:HHZ10 HRV9:HRV10 IBR9:IBR10 ILN9:ILN10 IVJ9:IVJ10 JFF9:JFF10 JPB9:JPB10 JYX9:JYX10 KIT9:KIT10 KSP9:KSP10 LCL9:LCL10 LMH9:LMH10 LWD9:LWD10 MFZ9:MFZ10 MPV9:MPV10 MZR9:MZR10 NJN9:NJN10 NTJ9:NTJ10 ODF9:ODF10 ONB9:ONB10 OWX9:OWX10 PGT9:PGT10 PQP9:PQP10 QAL9:QAL10 QKH9:QKH10 QUD9:QUD10 RDZ9:RDZ10 RNV9:RNV10 RXR9:RXR10 SHN9:SHN10 SRJ9:SRJ10 TBF9:TBF10 TLB9:TLB10 TUX9:TUX10 UET9:UET10 UOP9:UOP10 UYL9:UYL10 VIH9:VIH10 VSD9:VSD10 WBZ9:WBZ10 WLV9:WLV10 WVR9:WVR10 J65537:J65538 JF65537:JF65538 TB65537:TB65538 ACX65537:ACX65538 AMT65537:AMT65538 AWP65537:AWP65538 BGL65537:BGL65538 BQH65537:BQH65538 CAD65537:CAD65538 CJZ65537:CJZ65538 CTV65537:CTV65538 DDR65537:DDR65538 DNN65537:DNN65538 DXJ65537:DXJ65538 EHF65537:EHF65538 ERB65537:ERB65538 FAX65537:FAX65538 FKT65537:FKT65538 FUP65537:FUP65538 GEL65537:GEL65538 GOH65537:GOH65538 GYD65537:GYD65538 HHZ65537:HHZ65538 HRV65537:HRV65538 IBR65537:IBR65538 ILN65537:ILN65538 IVJ65537:IVJ65538 JFF65537:JFF65538 JPB65537:JPB65538 JYX65537:JYX65538 KIT65537:KIT65538 KSP65537:KSP65538 LCL65537:LCL65538 LMH65537:LMH65538 LWD65537:LWD65538 MFZ65537:MFZ65538 MPV65537:MPV65538 MZR65537:MZR65538 NJN65537:NJN65538 NTJ65537:NTJ65538 ODF65537:ODF65538 ONB65537:ONB65538 OWX65537:OWX65538 PGT65537:PGT65538 PQP65537:PQP65538 QAL65537:QAL65538 QKH65537:QKH65538 QUD65537:QUD65538 RDZ65537:RDZ65538 RNV65537:RNV65538 RXR65537:RXR65538 SHN65537:SHN65538 SRJ65537:SRJ65538 TBF65537:TBF65538 TLB65537:TLB65538 TUX65537:TUX65538 UET65537:UET65538 UOP65537:UOP65538 UYL65537:UYL65538 VIH65537:VIH65538 VSD65537:VSD65538 WBZ65537:WBZ65538 WLV65537:WLV65538 WVR65537:WVR65538 J131073:J131074 JF131073:JF131074 TB131073:TB131074 ACX131073:ACX131074 AMT131073:AMT131074 AWP131073:AWP131074 BGL131073:BGL131074 BQH131073:BQH131074 CAD131073:CAD131074 CJZ131073:CJZ131074 CTV131073:CTV131074 DDR131073:DDR131074 DNN131073:DNN131074 DXJ131073:DXJ131074 EHF131073:EHF131074 ERB131073:ERB131074 FAX131073:FAX131074 FKT131073:FKT131074 FUP131073:FUP131074 GEL131073:GEL131074 GOH131073:GOH131074 GYD131073:GYD131074 HHZ131073:HHZ131074 HRV131073:HRV131074 IBR131073:IBR131074 ILN131073:ILN131074 IVJ131073:IVJ131074 JFF131073:JFF131074 JPB131073:JPB131074 JYX131073:JYX131074 KIT131073:KIT131074 KSP131073:KSP131074 LCL131073:LCL131074 LMH131073:LMH131074 LWD131073:LWD131074 MFZ131073:MFZ131074 MPV131073:MPV131074 MZR131073:MZR131074 NJN131073:NJN131074 NTJ131073:NTJ131074 ODF131073:ODF131074 ONB131073:ONB131074 OWX131073:OWX131074 PGT131073:PGT131074 PQP131073:PQP131074 QAL131073:QAL131074 QKH131073:QKH131074 QUD131073:QUD131074 RDZ131073:RDZ131074 RNV131073:RNV131074 RXR131073:RXR131074 SHN131073:SHN131074 SRJ131073:SRJ131074 TBF131073:TBF131074 TLB131073:TLB131074 TUX131073:TUX131074 UET131073:UET131074 UOP131073:UOP131074 UYL131073:UYL131074 VIH131073:VIH131074 VSD131073:VSD131074 WBZ131073:WBZ131074 WLV131073:WLV131074 WVR131073:WVR131074 J196609:J196610 JF196609:JF196610 TB196609:TB196610 ACX196609:ACX196610 AMT196609:AMT196610 AWP196609:AWP196610 BGL196609:BGL196610 BQH196609:BQH196610 CAD196609:CAD196610 CJZ196609:CJZ196610 CTV196609:CTV196610 DDR196609:DDR196610 DNN196609:DNN196610 DXJ196609:DXJ196610 EHF196609:EHF196610 ERB196609:ERB196610 FAX196609:FAX196610 FKT196609:FKT196610 FUP196609:FUP196610 GEL196609:GEL196610 GOH196609:GOH196610 GYD196609:GYD196610 HHZ196609:HHZ196610 HRV196609:HRV196610 IBR196609:IBR196610 ILN196609:ILN196610 IVJ196609:IVJ196610 JFF196609:JFF196610 JPB196609:JPB196610 JYX196609:JYX196610 KIT196609:KIT196610 KSP196609:KSP196610 LCL196609:LCL196610 LMH196609:LMH196610 LWD196609:LWD196610 MFZ196609:MFZ196610 MPV196609:MPV196610 MZR196609:MZR196610 NJN196609:NJN196610 NTJ196609:NTJ196610 ODF196609:ODF196610 ONB196609:ONB196610 OWX196609:OWX196610 PGT196609:PGT196610 PQP196609:PQP196610 QAL196609:QAL196610 QKH196609:QKH196610 QUD196609:QUD196610 RDZ196609:RDZ196610 RNV196609:RNV196610 RXR196609:RXR196610 SHN196609:SHN196610 SRJ196609:SRJ196610 TBF196609:TBF196610 TLB196609:TLB196610 TUX196609:TUX196610 UET196609:UET196610 UOP196609:UOP196610 UYL196609:UYL196610 VIH196609:VIH196610 VSD196609:VSD196610 WBZ196609:WBZ196610 WLV196609:WLV196610 WVR196609:WVR196610 J262145:J262146 JF262145:JF262146 TB262145:TB262146 ACX262145:ACX262146 AMT262145:AMT262146 AWP262145:AWP262146 BGL262145:BGL262146 BQH262145:BQH262146 CAD262145:CAD262146 CJZ262145:CJZ262146 CTV262145:CTV262146 DDR262145:DDR262146 DNN262145:DNN262146 DXJ262145:DXJ262146 EHF262145:EHF262146 ERB262145:ERB262146 FAX262145:FAX262146 FKT262145:FKT262146 FUP262145:FUP262146 GEL262145:GEL262146 GOH262145:GOH262146 GYD262145:GYD262146 HHZ262145:HHZ262146 HRV262145:HRV262146 IBR262145:IBR262146 ILN262145:ILN262146 IVJ262145:IVJ262146 JFF262145:JFF262146 JPB262145:JPB262146 JYX262145:JYX262146 KIT262145:KIT262146 KSP262145:KSP262146 LCL262145:LCL262146 LMH262145:LMH262146 LWD262145:LWD262146 MFZ262145:MFZ262146 MPV262145:MPV262146 MZR262145:MZR262146 NJN262145:NJN262146 NTJ262145:NTJ262146 ODF262145:ODF262146 ONB262145:ONB262146 OWX262145:OWX262146 PGT262145:PGT262146 PQP262145:PQP262146 QAL262145:QAL262146 QKH262145:QKH262146 QUD262145:QUD262146 RDZ262145:RDZ262146 RNV262145:RNV262146 RXR262145:RXR262146 SHN262145:SHN262146 SRJ262145:SRJ262146 TBF262145:TBF262146 TLB262145:TLB262146 TUX262145:TUX262146 UET262145:UET262146 UOP262145:UOP262146 UYL262145:UYL262146 VIH262145:VIH262146 VSD262145:VSD262146 WBZ262145:WBZ262146 WLV262145:WLV262146 WVR262145:WVR262146 J327681:J327682 JF327681:JF327682 TB327681:TB327682 ACX327681:ACX327682 AMT327681:AMT327682 AWP327681:AWP327682 BGL327681:BGL327682 BQH327681:BQH327682 CAD327681:CAD327682 CJZ327681:CJZ327682 CTV327681:CTV327682 DDR327681:DDR327682 DNN327681:DNN327682 DXJ327681:DXJ327682 EHF327681:EHF327682 ERB327681:ERB327682 FAX327681:FAX327682 FKT327681:FKT327682 FUP327681:FUP327682 GEL327681:GEL327682 GOH327681:GOH327682 GYD327681:GYD327682 HHZ327681:HHZ327682 HRV327681:HRV327682 IBR327681:IBR327682 ILN327681:ILN327682 IVJ327681:IVJ327682 JFF327681:JFF327682 JPB327681:JPB327682 JYX327681:JYX327682 KIT327681:KIT327682 KSP327681:KSP327682 LCL327681:LCL327682 LMH327681:LMH327682 LWD327681:LWD327682 MFZ327681:MFZ327682 MPV327681:MPV327682 MZR327681:MZR327682 NJN327681:NJN327682 NTJ327681:NTJ327682 ODF327681:ODF327682 ONB327681:ONB327682 OWX327681:OWX327682 PGT327681:PGT327682 PQP327681:PQP327682 QAL327681:QAL327682 QKH327681:QKH327682 QUD327681:QUD327682 RDZ327681:RDZ327682 RNV327681:RNV327682 RXR327681:RXR327682 SHN327681:SHN327682 SRJ327681:SRJ327682 TBF327681:TBF327682 TLB327681:TLB327682 TUX327681:TUX327682 UET327681:UET327682 UOP327681:UOP327682 UYL327681:UYL327682 VIH327681:VIH327682 VSD327681:VSD327682 WBZ327681:WBZ327682 WLV327681:WLV327682 WVR327681:WVR327682 J393217:J393218 JF393217:JF393218 TB393217:TB393218 ACX393217:ACX393218 AMT393217:AMT393218 AWP393217:AWP393218 BGL393217:BGL393218 BQH393217:BQH393218 CAD393217:CAD393218 CJZ393217:CJZ393218 CTV393217:CTV393218 DDR393217:DDR393218 DNN393217:DNN393218 DXJ393217:DXJ393218 EHF393217:EHF393218 ERB393217:ERB393218 FAX393217:FAX393218 FKT393217:FKT393218 FUP393217:FUP393218 GEL393217:GEL393218 GOH393217:GOH393218 GYD393217:GYD393218 HHZ393217:HHZ393218 HRV393217:HRV393218 IBR393217:IBR393218 ILN393217:ILN393218 IVJ393217:IVJ393218 JFF393217:JFF393218 JPB393217:JPB393218 JYX393217:JYX393218 KIT393217:KIT393218 KSP393217:KSP393218 LCL393217:LCL393218 LMH393217:LMH393218 LWD393217:LWD393218 MFZ393217:MFZ393218 MPV393217:MPV393218 MZR393217:MZR393218 NJN393217:NJN393218 NTJ393217:NTJ393218 ODF393217:ODF393218 ONB393217:ONB393218 OWX393217:OWX393218 PGT393217:PGT393218 PQP393217:PQP393218 QAL393217:QAL393218 QKH393217:QKH393218 QUD393217:QUD393218 RDZ393217:RDZ393218 RNV393217:RNV393218 RXR393217:RXR393218 SHN393217:SHN393218 SRJ393217:SRJ393218 TBF393217:TBF393218 TLB393217:TLB393218 TUX393217:TUX393218 UET393217:UET393218 UOP393217:UOP393218 UYL393217:UYL393218 VIH393217:VIH393218 VSD393217:VSD393218 WBZ393217:WBZ393218 WLV393217:WLV393218 WVR393217:WVR393218 J458753:J458754 JF458753:JF458754 TB458753:TB458754 ACX458753:ACX458754 AMT458753:AMT458754 AWP458753:AWP458754 BGL458753:BGL458754 BQH458753:BQH458754 CAD458753:CAD458754 CJZ458753:CJZ458754 CTV458753:CTV458754 DDR458753:DDR458754 DNN458753:DNN458754 DXJ458753:DXJ458754 EHF458753:EHF458754 ERB458753:ERB458754 FAX458753:FAX458754 FKT458753:FKT458754 FUP458753:FUP458754 GEL458753:GEL458754 GOH458753:GOH458754 GYD458753:GYD458754 HHZ458753:HHZ458754 HRV458753:HRV458754 IBR458753:IBR458754 ILN458753:ILN458754 IVJ458753:IVJ458754 JFF458753:JFF458754 JPB458753:JPB458754 JYX458753:JYX458754 KIT458753:KIT458754 KSP458753:KSP458754 LCL458753:LCL458754 LMH458753:LMH458754 LWD458753:LWD458754 MFZ458753:MFZ458754 MPV458753:MPV458754 MZR458753:MZR458754 NJN458753:NJN458754 NTJ458753:NTJ458754 ODF458753:ODF458754 ONB458753:ONB458754 OWX458753:OWX458754 PGT458753:PGT458754 PQP458753:PQP458754 QAL458753:QAL458754 QKH458753:QKH458754 QUD458753:QUD458754 RDZ458753:RDZ458754 RNV458753:RNV458754 RXR458753:RXR458754 SHN458753:SHN458754 SRJ458753:SRJ458754 TBF458753:TBF458754 TLB458753:TLB458754 TUX458753:TUX458754 UET458753:UET458754 UOP458753:UOP458754 UYL458753:UYL458754 VIH458753:VIH458754 VSD458753:VSD458754 WBZ458753:WBZ458754 WLV458753:WLV458754 WVR458753:WVR458754 J524289:J524290 JF524289:JF524290 TB524289:TB524290 ACX524289:ACX524290 AMT524289:AMT524290 AWP524289:AWP524290 BGL524289:BGL524290 BQH524289:BQH524290 CAD524289:CAD524290 CJZ524289:CJZ524290 CTV524289:CTV524290 DDR524289:DDR524290 DNN524289:DNN524290 DXJ524289:DXJ524290 EHF524289:EHF524290 ERB524289:ERB524290 FAX524289:FAX524290 FKT524289:FKT524290 FUP524289:FUP524290 GEL524289:GEL524290 GOH524289:GOH524290 GYD524289:GYD524290 HHZ524289:HHZ524290 HRV524289:HRV524290 IBR524289:IBR524290 ILN524289:ILN524290 IVJ524289:IVJ524290 JFF524289:JFF524290 JPB524289:JPB524290 JYX524289:JYX524290 KIT524289:KIT524290 KSP524289:KSP524290 LCL524289:LCL524290 LMH524289:LMH524290 LWD524289:LWD524290 MFZ524289:MFZ524290 MPV524289:MPV524290 MZR524289:MZR524290 NJN524289:NJN524290 NTJ524289:NTJ524290 ODF524289:ODF524290 ONB524289:ONB524290 OWX524289:OWX524290 PGT524289:PGT524290 PQP524289:PQP524290 QAL524289:QAL524290 QKH524289:QKH524290 QUD524289:QUD524290 RDZ524289:RDZ524290 RNV524289:RNV524290 RXR524289:RXR524290 SHN524289:SHN524290 SRJ524289:SRJ524290 TBF524289:TBF524290 TLB524289:TLB524290 TUX524289:TUX524290 UET524289:UET524290 UOP524289:UOP524290 UYL524289:UYL524290 VIH524289:VIH524290 VSD524289:VSD524290 WBZ524289:WBZ524290 WLV524289:WLV524290 WVR524289:WVR524290 J589825:J589826 JF589825:JF589826 TB589825:TB589826 ACX589825:ACX589826 AMT589825:AMT589826 AWP589825:AWP589826 BGL589825:BGL589826 BQH589825:BQH589826 CAD589825:CAD589826 CJZ589825:CJZ589826 CTV589825:CTV589826 DDR589825:DDR589826 DNN589825:DNN589826 DXJ589825:DXJ589826 EHF589825:EHF589826 ERB589825:ERB589826 FAX589825:FAX589826 FKT589825:FKT589826 FUP589825:FUP589826 GEL589825:GEL589826 GOH589825:GOH589826 GYD589825:GYD589826 HHZ589825:HHZ589826 HRV589825:HRV589826 IBR589825:IBR589826 ILN589825:ILN589826 IVJ589825:IVJ589826 JFF589825:JFF589826 JPB589825:JPB589826 JYX589825:JYX589826 KIT589825:KIT589826 KSP589825:KSP589826 LCL589825:LCL589826 LMH589825:LMH589826 LWD589825:LWD589826 MFZ589825:MFZ589826 MPV589825:MPV589826 MZR589825:MZR589826 NJN589825:NJN589826 NTJ589825:NTJ589826 ODF589825:ODF589826 ONB589825:ONB589826 OWX589825:OWX589826 PGT589825:PGT589826 PQP589825:PQP589826 QAL589825:QAL589826 QKH589825:QKH589826 QUD589825:QUD589826 RDZ589825:RDZ589826 RNV589825:RNV589826 RXR589825:RXR589826 SHN589825:SHN589826 SRJ589825:SRJ589826 TBF589825:TBF589826 TLB589825:TLB589826 TUX589825:TUX589826 UET589825:UET589826 UOP589825:UOP589826 UYL589825:UYL589826 VIH589825:VIH589826 VSD589825:VSD589826 WBZ589825:WBZ589826 WLV589825:WLV589826 WVR589825:WVR589826 J655361:J655362 JF655361:JF655362 TB655361:TB655362 ACX655361:ACX655362 AMT655361:AMT655362 AWP655361:AWP655362 BGL655361:BGL655362 BQH655361:BQH655362 CAD655361:CAD655362 CJZ655361:CJZ655362 CTV655361:CTV655362 DDR655361:DDR655362 DNN655361:DNN655362 DXJ655361:DXJ655362 EHF655361:EHF655362 ERB655361:ERB655362 FAX655361:FAX655362 FKT655361:FKT655362 FUP655361:FUP655362 GEL655361:GEL655362 GOH655361:GOH655362 GYD655361:GYD655362 HHZ655361:HHZ655362 HRV655361:HRV655362 IBR655361:IBR655362 ILN655361:ILN655362 IVJ655361:IVJ655362 JFF655361:JFF655362 JPB655361:JPB655362 JYX655361:JYX655362 KIT655361:KIT655362 KSP655361:KSP655362 LCL655361:LCL655362 LMH655361:LMH655362 LWD655361:LWD655362 MFZ655361:MFZ655362 MPV655361:MPV655362 MZR655361:MZR655362 NJN655361:NJN655362 NTJ655361:NTJ655362 ODF655361:ODF655362 ONB655361:ONB655362 OWX655361:OWX655362 PGT655361:PGT655362 PQP655361:PQP655362 QAL655361:QAL655362 QKH655361:QKH655362 QUD655361:QUD655362 RDZ655361:RDZ655362 RNV655361:RNV655362 RXR655361:RXR655362 SHN655361:SHN655362 SRJ655361:SRJ655362 TBF655361:TBF655362 TLB655361:TLB655362 TUX655361:TUX655362 UET655361:UET655362 UOP655361:UOP655362 UYL655361:UYL655362 VIH655361:VIH655362 VSD655361:VSD655362 WBZ655361:WBZ655362 WLV655361:WLV655362 WVR655361:WVR655362 J720897:J720898 JF720897:JF720898 TB720897:TB720898 ACX720897:ACX720898 AMT720897:AMT720898 AWP720897:AWP720898 BGL720897:BGL720898 BQH720897:BQH720898 CAD720897:CAD720898 CJZ720897:CJZ720898 CTV720897:CTV720898 DDR720897:DDR720898 DNN720897:DNN720898 DXJ720897:DXJ720898 EHF720897:EHF720898 ERB720897:ERB720898 FAX720897:FAX720898 FKT720897:FKT720898 FUP720897:FUP720898 GEL720897:GEL720898 GOH720897:GOH720898 GYD720897:GYD720898 HHZ720897:HHZ720898 HRV720897:HRV720898 IBR720897:IBR720898 ILN720897:ILN720898 IVJ720897:IVJ720898 JFF720897:JFF720898 JPB720897:JPB720898 JYX720897:JYX720898 KIT720897:KIT720898 KSP720897:KSP720898 LCL720897:LCL720898 LMH720897:LMH720898 LWD720897:LWD720898 MFZ720897:MFZ720898 MPV720897:MPV720898 MZR720897:MZR720898 NJN720897:NJN720898 NTJ720897:NTJ720898 ODF720897:ODF720898 ONB720897:ONB720898 OWX720897:OWX720898 PGT720897:PGT720898 PQP720897:PQP720898 QAL720897:QAL720898 QKH720897:QKH720898 QUD720897:QUD720898 RDZ720897:RDZ720898 RNV720897:RNV720898 RXR720897:RXR720898 SHN720897:SHN720898 SRJ720897:SRJ720898 TBF720897:TBF720898 TLB720897:TLB720898 TUX720897:TUX720898 UET720897:UET720898 UOP720897:UOP720898 UYL720897:UYL720898 VIH720897:VIH720898 VSD720897:VSD720898 WBZ720897:WBZ720898 WLV720897:WLV720898 WVR720897:WVR720898 J786433:J786434 JF786433:JF786434 TB786433:TB786434 ACX786433:ACX786434 AMT786433:AMT786434 AWP786433:AWP786434 BGL786433:BGL786434 BQH786433:BQH786434 CAD786433:CAD786434 CJZ786433:CJZ786434 CTV786433:CTV786434 DDR786433:DDR786434 DNN786433:DNN786434 DXJ786433:DXJ786434 EHF786433:EHF786434 ERB786433:ERB786434 FAX786433:FAX786434 FKT786433:FKT786434 FUP786433:FUP786434 GEL786433:GEL786434 GOH786433:GOH786434 GYD786433:GYD786434 HHZ786433:HHZ786434 HRV786433:HRV786434 IBR786433:IBR786434 ILN786433:ILN786434 IVJ786433:IVJ786434 JFF786433:JFF786434 JPB786433:JPB786434 JYX786433:JYX786434 KIT786433:KIT786434 KSP786433:KSP786434 LCL786433:LCL786434 LMH786433:LMH786434 LWD786433:LWD786434 MFZ786433:MFZ786434 MPV786433:MPV786434 MZR786433:MZR786434 NJN786433:NJN786434 NTJ786433:NTJ786434 ODF786433:ODF786434 ONB786433:ONB786434 OWX786433:OWX786434 PGT786433:PGT786434 PQP786433:PQP786434 QAL786433:QAL786434 QKH786433:QKH786434 QUD786433:QUD786434 RDZ786433:RDZ786434 RNV786433:RNV786434 RXR786433:RXR786434 SHN786433:SHN786434 SRJ786433:SRJ786434 TBF786433:TBF786434 TLB786433:TLB786434 TUX786433:TUX786434 UET786433:UET786434 UOP786433:UOP786434 UYL786433:UYL786434 VIH786433:VIH786434 VSD786433:VSD786434 WBZ786433:WBZ786434 WLV786433:WLV786434 WVR786433:WVR786434 J851969:J851970 JF851969:JF851970 TB851969:TB851970 ACX851969:ACX851970 AMT851969:AMT851970 AWP851969:AWP851970 BGL851969:BGL851970 BQH851969:BQH851970 CAD851969:CAD851970 CJZ851969:CJZ851970 CTV851969:CTV851970 DDR851969:DDR851970 DNN851969:DNN851970 DXJ851969:DXJ851970 EHF851969:EHF851970 ERB851969:ERB851970 FAX851969:FAX851970 FKT851969:FKT851970 FUP851969:FUP851970 GEL851969:GEL851970 GOH851969:GOH851970 GYD851969:GYD851970 HHZ851969:HHZ851970 HRV851969:HRV851970 IBR851969:IBR851970 ILN851969:ILN851970 IVJ851969:IVJ851970 JFF851969:JFF851970 JPB851969:JPB851970 JYX851969:JYX851970 KIT851969:KIT851970 KSP851969:KSP851970 LCL851969:LCL851970 LMH851969:LMH851970 LWD851969:LWD851970 MFZ851969:MFZ851970 MPV851969:MPV851970 MZR851969:MZR851970 NJN851969:NJN851970 NTJ851969:NTJ851970 ODF851969:ODF851970 ONB851969:ONB851970 OWX851969:OWX851970 PGT851969:PGT851970 PQP851969:PQP851970 QAL851969:QAL851970 QKH851969:QKH851970 QUD851969:QUD851970 RDZ851969:RDZ851970 RNV851969:RNV851970 RXR851969:RXR851970 SHN851969:SHN851970 SRJ851969:SRJ851970 TBF851969:TBF851970 TLB851969:TLB851970 TUX851969:TUX851970 UET851969:UET851970 UOP851969:UOP851970 UYL851969:UYL851970 VIH851969:VIH851970 VSD851969:VSD851970 WBZ851969:WBZ851970 WLV851969:WLV851970 WVR851969:WVR851970 J917505:J917506 JF917505:JF917506 TB917505:TB917506 ACX917505:ACX917506 AMT917505:AMT917506 AWP917505:AWP917506 BGL917505:BGL917506 BQH917505:BQH917506 CAD917505:CAD917506 CJZ917505:CJZ917506 CTV917505:CTV917506 DDR917505:DDR917506 DNN917505:DNN917506 DXJ917505:DXJ917506 EHF917505:EHF917506 ERB917505:ERB917506 FAX917505:FAX917506 FKT917505:FKT917506 FUP917505:FUP917506 GEL917505:GEL917506 GOH917505:GOH917506 GYD917505:GYD917506 HHZ917505:HHZ917506 HRV917505:HRV917506 IBR917505:IBR917506 ILN917505:ILN917506 IVJ917505:IVJ917506 JFF917505:JFF917506 JPB917505:JPB917506 JYX917505:JYX917506 KIT917505:KIT917506 KSP917505:KSP917506 LCL917505:LCL917506 LMH917505:LMH917506 LWD917505:LWD917506 MFZ917505:MFZ917506 MPV917505:MPV917506 MZR917505:MZR917506 NJN917505:NJN917506 NTJ917505:NTJ917506 ODF917505:ODF917506 ONB917505:ONB917506 OWX917505:OWX917506 PGT917505:PGT917506 PQP917505:PQP917506 QAL917505:QAL917506 QKH917505:QKH917506 QUD917505:QUD917506 RDZ917505:RDZ917506 RNV917505:RNV917506 RXR917505:RXR917506 SHN917505:SHN917506 SRJ917505:SRJ917506 TBF917505:TBF917506 TLB917505:TLB917506 TUX917505:TUX917506 UET917505:UET917506 UOP917505:UOP917506 UYL917505:UYL917506 VIH917505:VIH917506 VSD917505:VSD917506 WBZ917505:WBZ917506 WLV917505:WLV917506 WVR917505:WVR917506 J983041:J983042 JF983041:JF983042 TB983041:TB983042 ACX983041:ACX983042 AMT983041:AMT983042 AWP983041:AWP983042 BGL983041:BGL983042 BQH983041:BQH983042 CAD983041:CAD983042 CJZ983041:CJZ983042 CTV983041:CTV983042 DDR983041:DDR983042 DNN983041:DNN983042 DXJ983041:DXJ983042 EHF983041:EHF983042 ERB983041:ERB983042 FAX983041:FAX983042 FKT983041:FKT983042 FUP983041:FUP983042 GEL983041:GEL983042 GOH983041:GOH983042 GYD983041:GYD983042 HHZ983041:HHZ983042 HRV983041:HRV983042 IBR983041:IBR983042 ILN983041:ILN983042 IVJ983041:IVJ983042 JFF983041:JFF983042 JPB983041:JPB983042 JYX983041:JYX983042 KIT983041:KIT983042 KSP983041:KSP983042 LCL983041:LCL983042 LMH983041:LMH983042 LWD983041:LWD983042 MFZ983041:MFZ983042 MPV983041:MPV983042 MZR983041:MZR983042 NJN983041:NJN983042 NTJ983041:NTJ983042 ODF983041:ODF983042 ONB983041:ONB983042 OWX983041:OWX983042 PGT983041:PGT983042 PQP983041:PQP983042 QAL983041:QAL983042 QKH983041:QKH983042 QUD983041:QUD983042 RDZ983041:RDZ983042 RNV983041:RNV983042 RXR983041:RXR983042 SHN983041:SHN983042 SRJ983041:SRJ983042 TBF983041:TBF983042 TLB983041:TLB983042 TUX983041:TUX983042 UET983041:UET983042 UOP983041:UOP983042 UYL983041:UYL983042 VIH983041:VIH983042 VSD983041:VSD983042 WBZ983041:WBZ983042 WLV983041:WLV983042">
      <formula1>"Lektionen,Stunden"</formula1>
    </dataValidation>
    <dataValidation type="list" allowBlank="1" showInputMessage="1" showErrorMessage="1" sqref="C14:C16">
      <formula1>"Lektionen,Stunden (52 Wochen),Stunden (38 Wochen)"</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Umrechnung Stunden-Pensen SoPä</vt:lpstr>
      <vt:lpstr>Umrechnung Stunden-Pensen Assis</vt:lpstr>
      <vt:lpstr>Anleitung</vt:lpstr>
      <vt:lpstr>'Umrechnung Stunden-Pensen SoPä'!Druckbereich</vt:lpstr>
    </vt:vector>
  </TitlesOfParts>
  <Company>Kantonale Verwaltungen 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Loeliger, Melanie BKSD</dc:creator>
  <cp:lastModifiedBy>Schiegg, Michael BKSD</cp:lastModifiedBy>
  <cp:lastPrinted>2022-03-16T14:13:43Z</cp:lastPrinted>
  <dcterms:created xsi:type="dcterms:W3CDTF">2014-01-24T10:09:07Z</dcterms:created>
  <dcterms:modified xsi:type="dcterms:W3CDTF">2022-05-04T13:29:39Z</dcterms:modified>
</cp:coreProperties>
</file>