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DieseArbeitsmappe"/>
  <mc:AlternateContent xmlns:mc="http://schemas.openxmlformats.org/markup-compatibility/2006">
    <mc:Choice Requires="x15">
      <x15ac:absPath xmlns:x15ac="http://schemas.microsoft.com/office/spreadsheetml/2010/11/ac" url="\\budfas01\udata$\U217886\Desktop\zum löschen\"/>
    </mc:Choice>
  </mc:AlternateContent>
  <bookViews>
    <workbookView xWindow="0" yWindow="0" windowWidth="28800" windowHeight="12345" tabRatio="812"/>
  </bookViews>
  <sheets>
    <sheet name="Adresse + Ergebnis " sheetId="1" r:id="rId1"/>
    <sheet name="Rindvieh, Schweine, Geflügel" sheetId="2" r:id="rId2"/>
    <sheet name="Diverse Tiere" sheetId="4" r:id="rId3"/>
    <sheet name="Hofdüngeranlagen" sheetId="22" r:id="rId4"/>
    <sheet name="Abwasser, Hofdüngerlager" sheetId="5" r:id="rId5"/>
    <sheet name="Abwasser landwirt. Nebenerwerb" sheetId="21" r:id="rId6"/>
    <sheet name="Grundlagen GRUD" sheetId="19" r:id="rId7"/>
  </sheets>
  <externalReferences>
    <externalReference r:id="rId8"/>
  </externalReferences>
  <definedNames>
    <definedName name="_xlnm.Print_Area" localSheetId="5">'Abwasser landwirt. Nebenerwerb'!$A$1:$O$37</definedName>
    <definedName name="_xlnm.Print_Area" localSheetId="4">'Abwasser, Hofdüngerlager'!$A$1:$O$57</definedName>
    <definedName name="_xlnm.Print_Area" localSheetId="0">'Adresse + Ergebnis '!$A$1:$O$46</definedName>
    <definedName name="_xlnm.Print_Area" localSheetId="2">'Diverse Tiere'!$A$1:$R$42</definedName>
    <definedName name="_xlnm.Print_Area" localSheetId="3">Hofdüngeranlagen!$A$1:$O$36</definedName>
    <definedName name="_xlnm.Print_Area" localSheetId="1">'Rindvieh, Schweine, Geflügel'!$A$1:$R$46</definedName>
    <definedName name="Print_Area" localSheetId="4">'Abwasser, Hofdüngerlager'!$A$1:$O$56</definedName>
    <definedName name="Print_Area" localSheetId="0">'Adresse + Ergebnis '!$A$1:$O$46</definedName>
    <definedName name="Print_Area" localSheetId="2">'Diverse Tiere'!$A$1:$R$44</definedName>
    <definedName name="Print_Area" localSheetId="6">'Grundlagen GRUD'!$A$7:$M$126</definedName>
    <definedName name="Print_Area" localSheetId="1">'Rindvieh, Schweine, Geflügel'!$A$1:$R$46</definedName>
  </definedNames>
  <calcPr calcId="162913"/>
</workbook>
</file>

<file path=xl/calcChain.xml><?xml version="1.0" encoding="utf-8"?>
<calcChain xmlns="http://schemas.openxmlformats.org/spreadsheetml/2006/main">
  <c r="N29" i="5" l="1"/>
  <c r="N30" i="22" l="1"/>
  <c r="N31" i="22"/>
  <c r="N32" i="22"/>
  <c r="N29" i="22"/>
  <c r="M30" i="22"/>
  <c r="M31" i="22"/>
  <c r="M32" i="22"/>
  <c r="L2" i="22"/>
  <c r="C3" i="22"/>
  <c r="L2" i="5"/>
  <c r="M26" i="22"/>
  <c r="N21" i="22"/>
  <c r="N22" i="22"/>
  <c r="N23" i="22"/>
  <c r="N24" i="22"/>
  <c r="N25" i="22"/>
  <c r="N26" i="22"/>
  <c r="M21" i="22"/>
  <c r="M22" i="22"/>
  <c r="M23" i="22"/>
  <c r="M24" i="22"/>
  <c r="M25" i="22"/>
  <c r="M20" i="22"/>
  <c r="M29" i="22" l="1"/>
  <c r="E55" i="5"/>
  <c r="E54" i="5"/>
  <c r="N54" i="5"/>
  <c r="N55" i="5"/>
  <c r="N20" i="22" l="1"/>
  <c r="A25" i="2" l="1"/>
  <c r="A24" i="2"/>
  <c r="N34" i="22" l="1"/>
  <c r="N33" i="22"/>
  <c r="N52" i="5"/>
  <c r="M12" i="22"/>
  <c r="N56" i="5" l="1"/>
  <c r="M15" i="22"/>
  <c r="N15" i="22"/>
  <c r="N14" i="22"/>
  <c r="N13" i="22"/>
  <c r="N12" i="22"/>
  <c r="N11" i="22"/>
  <c r="N10" i="22"/>
  <c r="M28" i="5"/>
  <c r="N28" i="5" s="1"/>
  <c r="N9" i="22"/>
  <c r="M31" i="5"/>
  <c r="M10" i="22"/>
  <c r="M11" i="22"/>
  <c r="M13" i="22"/>
  <c r="M14" i="22"/>
  <c r="M9" i="22"/>
  <c r="L1" i="22"/>
  <c r="C3" i="5"/>
  <c r="U21" i="22"/>
  <c r="U20" i="22"/>
  <c r="U19" i="22"/>
  <c r="E52" i="5" l="1"/>
  <c r="E56" i="5" s="1"/>
  <c r="Q21" i="2"/>
  <c r="Q22" i="2"/>
  <c r="R21" i="2"/>
  <c r="R22" i="2"/>
  <c r="R13" i="2"/>
  <c r="Q13" i="2"/>
  <c r="P21" i="2"/>
  <c r="P20" i="2"/>
  <c r="Q20" i="2"/>
  <c r="O21" i="2"/>
  <c r="O41" i="4" l="1"/>
  <c r="O40" i="4"/>
  <c r="O39" i="4"/>
  <c r="O38" i="4"/>
  <c r="O37" i="4"/>
  <c r="O36" i="4"/>
  <c r="O35" i="4"/>
  <c r="O34" i="4"/>
  <c r="O30" i="4"/>
  <c r="O29" i="4"/>
  <c r="O31" i="4" s="1"/>
  <c r="O25" i="4"/>
  <c r="O24" i="4"/>
  <c r="O26" i="4" s="1"/>
  <c r="O23" i="4"/>
  <c r="O19" i="4"/>
  <c r="O18" i="4"/>
  <c r="O17" i="4"/>
  <c r="O10" i="4"/>
  <c r="O11" i="4"/>
  <c r="O12" i="4"/>
  <c r="O13" i="4"/>
  <c r="O9" i="4"/>
  <c r="O14" i="4" s="1"/>
  <c r="O32" i="2"/>
  <c r="O33" i="2"/>
  <c r="AB10" i="2"/>
  <c r="O45" i="2"/>
  <c r="O44" i="2"/>
  <c r="O43" i="2"/>
  <c r="O42" i="2"/>
  <c r="O37" i="2"/>
  <c r="O36" i="2"/>
  <c r="O35" i="2"/>
  <c r="O38" i="2"/>
  <c r="O34" i="2"/>
  <c r="O27" i="2"/>
  <c r="O25" i="2"/>
  <c r="O24" i="2"/>
  <c r="O22" i="2"/>
  <c r="O20" i="2"/>
  <c r="O19" i="2"/>
  <c r="O18" i="2"/>
  <c r="O16" i="2"/>
  <c r="O15" i="2"/>
  <c r="O14" i="2"/>
  <c r="O13" i="2"/>
  <c r="O12" i="2"/>
  <c r="O11" i="2"/>
  <c r="AC10" i="2"/>
  <c r="W37" i="2"/>
  <c r="W38" i="2" s="1"/>
  <c r="W36" i="2"/>
  <c r="W35" i="2"/>
  <c r="W34" i="2"/>
  <c r="W33" i="2"/>
  <c r="W32" i="2"/>
  <c r="R20" i="2"/>
  <c r="R19" i="2"/>
  <c r="R18" i="2"/>
  <c r="P19" i="2"/>
  <c r="T19" i="2"/>
  <c r="W19" i="2"/>
  <c r="Q19" i="2"/>
  <c r="Q18" i="2"/>
  <c r="R14" i="2"/>
  <c r="R15" i="2"/>
  <c r="R16" i="2"/>
  <c r="R24" i="2"/>
  <c r="R25" i="2"/>
  <c r="R27" i="2"/>
  <c r="R37" i="2"/>
  <c r="R36" i="2"/>
  <c r="R35" i="2"/>
  <c r="R34" i="2"/>
  <c r="R33" i="2"/>
  <c r="R32" i="2"/>
  <c r="R45" i="2"/>
  <c r="R44" i="2"/>
  <c r="R43" i="2"/>
  <c r="R42" i="2"/>
  <c r="R19" i="4"/>
  <c r="R18" i="4"/>
  <c r="R17" i="4"/>
  <c r="R13" i="4"/>
  <c r="R12" i="4"/>
  <c r="R11" i="4"/>
  <c r="R10" i="4"/>
  <c r="R9" i="4"/>
  <c r="R41" i="4"/>
  <c r="R40" i="4"/>
  <c r="R39" i="4"/>
  <c r="R38" i="4"/>
  <c r="R37" i="4"/>
  <c r="R36" i="4"/>
  <c r="R35" i="4"/>
  <c r="R34" i="4"/>
  <c r="R25" i="4"/>
  <c r="R24" i="4"/>
  <c r="R23" i="4"/>
  <c r="R30" i="4"/>
  <c r="R29" i="4"/>
  <c r="U11" i="2"/>
  <c r="S11" i="2"/>
  <c r="X12" i="2"/>
  <c r="S12" i="2"/>
  <c r="X11" i="2"/>
  <c r="X10" i="2"/>
  <c r="U10" i="2"/>
  <c r="S10" i="2"/>
  <c r="Y11" i="2"/>
  <c r="Y10" i="2"/>
  <c r="O25" i="21"/>
  <c r="O27" i="21" s="1"/>
  <c r="O21" i="21"/>
  <c r="O20" i="21"/>
  <c r="O19" i="21"/>
  <c r="V13" i="1"/>
  <c r="V14" i="1"/>
  <c r="V15" i="1"/>
  <c r="V22" i="1"/>
  <c r="V21" i="1"/>
  <c r="T22" i="1"/>
  <c r="T15" i="1"/>
  <c r="T13" i="1"/>
  <c r="L27" i="1"/>
  <c r="N27" i="1"/>
  <c r="V20" i="1"/>
  <c r="V19" i="1"/>
  <c r="V18" i="1"/>
  <c r="V17" i="1"/>
  <c r="V12" i="1"/>
  <c r="V11" i="1"/>
  <c r="T21" i="1"/>
  <c r="T20" i="1"/>
  <c r="T19" i="1"/>
  <c r="T18" i="1"/>
  <c r="T17" i="1"/>
  <c r="T14" i="1"/>
  <c r="T12" i="1"/>
  <c r="T11" i="1"/>
  <c r="N5" i="21"/>
  <c r="O10" i="21"/>
  <c r="O11" i="21"/>
  <c r="N5" i="5"/>
  <c r="N41" i="5"/>
  <c r="C9" i="2"/>
  <c r="Q14" i="4"/>
  <c r="P13" i="4"/>
  <c r="P12" i="4"/>
  <c r="P11" i="4"/>
  <c r="P10" i="4"/>
  <c r="P9" i="4"/>
  <c r="P14" i="4" s="1"/>
  <c r="M13" i="5" s="1"/>
  <c r="N13" i="5" s="1"/>
  <c r="P19" i="4"/>
  <c r="P18" i="4"/>
  <c r="P20" i="4" s="1"/>
  <c r="P17" i="4"/>
  <c r="M14" i="5"/>
  <c r="N14" i="5" s="1"/>
  <c r="P25" i="4"/>
  <c r="P24" i="4"/>
  <c r="P26" i="4" s="1"/>
  <c r="P23" i="4"/>
  <c r="M15" i="5"/>
  <c r="N15" i="5" s="1"/>
  <c r="Z10" i="2"/>
  <c r="Z11" i="2"/>
  <c r="Z12" i="2"/>
  <c r="R12" i="2" s="1"/>
  <c r="N1" i="21"/>
  <c r="L1" i="5"/>
  <c r="M1" i="4"/>
  <c r="M1" i="2"/>
  <c r="Q5" i="2"/>
  <c r="K75" i="19"/>
  <c r="N2" i="21"/>
  <c r="B3" i="21"/>
  <c r="H3" i="2"/>
  <c r="H3" i="4" s="1"/>
  <c r="Q3" i="2"/>
  <c r="Q3" i="4" s="1"/>
  <c r="N4" i="21"/>
  <c r="O33" i="21"/>
  <c r="O31" i="21"/>
  <c r="O16" i="21"/>
  <c r="O12" i="21"/>
  <c r="O13" i="21"/>
  <c r="O14" i="21"/>
  <c r="N4" i="5"/>
  <c r="M10" i="2"/>
  <c r="W10" i="2" s="1"/>
  <c r="P11" i="2"/>
  <c r="P12" i="2"/>
  <c r="P13" i="2"/>
  <c r="M14" i="2"/>
  <c r="P14" i="2" s="1"/>
  <c r="M15" i="2"/>
  <c r="T15" i="2" s="1"/>
  <c r="M16" i="2"/>
  <c r="P16" i="2" s="1"/>
  <c r="W18" i="2"/>
  <c r="M22" i="2"/>
  <c r="W22" i="2" s="1"/>
  <c r="M24" i="2"/>
  <c r="T24" i="2" s="1"/>
  <c r="M25" i="2"/>
  <c r="P25" i="2" s="1"/>
  <c r="M27" i="2"/>
  <c r="T27" i="2" s="1"/>
  <c r="P32" i="2"/>
  <c r="P33" i="2"/>
  <c r="P34" i="2"/>
  <c r="P38" i="2" s="1"/>
  <c r="M10" i="5" s="1"/>
  <c r="N10" i="5" s="1"/>
  <c r="P35" i="2"/>
  <c r="P36" i="2"/>
  <c r="P37" i="2"/>
  <c r="P42" i="2"/>
  <c r="P43" i="2"/>
  <c r="P44" i="2"/>
  <c r="P45" i="2"/>
  <c r="P29" i="4"/>
  <c r="P30" i="4"/>
  <c r="P31" i="4" s="1"/>
  <c r="M16" i="5" s="1"/>
  <c r="N16" i="5" s="1"/>
  <c r="N18" i="5"/>
  <c r="N19" i="5"/>
  <c r="N20" i="5"/>
  <c r="N21" i="5"/>
  <c r="N22" i="5"/>
  <c r="N23" i="5"/>
  <c r="N30" i="5"/>
  <c r="N31" i="5"/>
  <c r="N32" i="5"/>
  <c r="N33" i="5"/>
  <c r="N34" i="5"/>
  <c r="N40" i="5"/>
  <c r="U39" i="5"/>
  <c r="N42" i="5"/>
  <c r="U40" i="5"/>
  <c r="U41" i="5"/>
  <c r="M2" i="4"/>
  <c r="C3" i="4"/>
  <c r="Q4" i="4"/>
  <c r="N4" i="22" s="1"/>
  <c r="Q5" i="4"/>
  <c r="N5" i="22" s="1"/>
  <c r="Q20" i="4"/>
  <c r="Q26" i="4"/>
  <c r="Q29" i="4"/>
  <c r="Q30" i="4"/>
  <c r="P34" i="4"/>
  <c r="P35" i="4"/>
  <c r="P36" i="4"/>
  <c r="P37" i="4"/>
  <c r="P38" i="4"/>
  <c r="P39" i="4"/>
  <c r="P40" i="4"/>
  <c r="P41" i="4"/>
  <c r="Q42" i="4"/>
  <c r="M2" i="2"/>
  <c r="C3" i="2"/>
  <c r="Q4" i="2"/>
  <c r="V10" i="2"/>
  <c r="V11" i="2"/>
  <c r="Q11" i="2" s="1"/>
  <c r="T11" i="2"/>
  <c r="W11" i="2"/>
  <c r="V12" i="2"/>
  <c r="Q12" i="2" s="1"/>
  <c r="T12" i="2"/>
  <c r="W12" i="2"/>
  <c r="Q14" i="2"/>
  <c r="Q15" i="2"/>
  <c r="Q16" i="2"/>
  <c r="T17" i="2"/>
  <c r="W17" i="2"/>
  <c r="T20" i="2"/>
  <c r="W20" i="2"/>
  <c r="T23" i="2"/>
  <c r="W23" i="2"/>
  <c r="Q24" i="2"/>
  <c r="Q25" i="2"/>
  <c r="T26" i="2"/>
  <c r="W26" i="2"/>
  <c r="Q32" i="2"/>
  <c r="Q33" i="2"/>
  <c r="Q34" i="2"/>
  <c r="Q35" i="2"/>
  <c r="Q36" i="2"/>
  <c r="Q37" i="2"/>
  <c r="T32" i="2"/>
  <c r="T33" i="2"/>
  <c r="T38" i="2" s="1"/>
  <c r="T34" i="2"/>
  <c r="T35" i="2"/>
  <c r="T36" i="2"/>
  <c r="T37" i="2"/>
  <c r="A36" i="2"/>
  <c r="Q42" i="2"/>
  <c r="Q43" i="2"/>
  <c r="Q44" i="2"/>
  <c r="Q45" i="2"/>
  <c r="V5" i="1"/>
  <c r="V6" i="1"/>
  <c r="V7" i="1"/>
  <c r="W13" i="2"/>
  <c r="T13" i="2"/>
  <c r="T18" i="2"/>
  <c r="P18" i="2"/>
  <c r="P42" i="4"/>
  <c r="O42" i="4"/>
  <c r="O20" i="4"/>
  <c r="U18" i="4" l="1"/>
  <c r="H3" i="22"/>
  <c r="H3" i="5"/>
  <c r="G3" i="21" s="1"/>
  <c r="N3" i="22"/>
  <c r="N3" i="5"/>
  <c r="N3" i="21" s="1"/>
  <c r="F45" i="5"/>
  <c r="R20" i="4"/>
  <c r="P24" i="2"/>
  <c r="R31" i="4"/>
  <c r="W25" i="2"/>
  <c r="W15" i="2"/>
  <c r="W16" i="2"/>
  <c r="T16" i="2"/>
  <c r="P15" i="2"/>
  <c r="R26" i="4"/>
  <c r="Q31" i="4"/>
  <c r="R14" i="4"/>
  <c r="R42" i="4"/>
  <c r="T25" i="2"/>
  <c r="W24" i="2"/>
  <c r="R11" i="2"/>
  <c r="R38" i="2"/>
  <c r="Q38" i="2"/>
  <c r="W27" i="2"/>
  <c r="P27" i="2"/>
  <c r="T22" i="2"/>
  <c r="W14" i="2"/>
  <c r="R10" i="2"/>
  <c r="Q46" i="2"/>
  <c r="P22" i="2"/>
  <c r="P10" i="2"/>
  <c r="T14" i="2"/>
  <c r="T10" i="2"/>
  <c r="N45" i="5"/>
  <c r="L18" i="1" s="1"/>
  <c r="M11" i="5"/>
  <c r="N11" i="5" s="1"/>
  <c r="P46" i="2"/>
  <c r="R46" i="2"/>
  <c r="O46" i="2"/>
  <c r="O37" i="21"/>
  <c r="L19" i="1" s="1"/>
  <c r="M12" i="5"/>
  <c r="N12" i="5" s="1"/>
  <c r="D6" i="1"/>
  <c r="E25" i="1" s="1"/>
  <c r="AD10" i="2"/>
  <c r="N10" i="2" s="1"/>
  <c r="O10" i="2" s="1"/>
  <c r="O28" i="2" s="1"/>
  <c r="I38" i="1" s="1"/>
  <c r="S34" i="1" s="1"/>
  <c r="Q10" i="2"/>
  <c r="Q28" i="2" s="1"/>
  <c r="L15" i="1" l="1"/>
  <c r="W28" i="2"/>
  <c r="L14" i="1"/>
  <c r="R28" i="2"/>
  <c r="N21" i="1" s="1"/>
  <c r="N26" i="1" s="1"/>
  <c r="N29" i="1" s="1"/>
  <c r="N31" i="1" s="1"/>
  <c r="P28" i="2"/>
  <c r="M9" i="5" s="1"/>
  <c r="N9" i="5" s="1"/>
  <c r="T28" i="2"/>
  <c r="L25" i="1"/>
  <c r="N37" i="5" l="1"/>
  <c r="L17" i="1" s="1"/>
  <c r="N28" i="1"/>
  <c r="N30" i="1"/>
  <c r="I39" i="1" l="1"/>
  <c r="S35" i="1" s="1"/>
  <c r="S36" i="1" s="1"/>
  <c r="F35" i="1" s="1"/>
  <c r="G35" i="1" s="1"/>
  <c r="L20" i="1"/>
  <c r="L26" i="1" s="1"/>
  <c r="L29" i="1" s="1"/>
  <c r="L31" i="1" s="1"/>
  <c r="I40" i="1"/>
  <c r="F37" i="1" s="1"/>
  <c r="G37" i="1" s="1"/>
  <c r="L30" i="1" l="1"/>
  <c r="L28" i="1"/>
  <c r="R12" i="1" l="1"/>
  <c r="W18" i="1" s="1"/>
  <c r="X18" i="1" s="1"/>
  <c r="W14" i="1" l="1"/>
  <c r="X14" i="1" s="1"/>
  <c r="W21" i="1"/>
  <c r="X21" i="1" s="1"/>
  <c r="W22" i="1"/>
  <c r="X22" i="1" s="1"/>
  <c r="W12" i="1"/>
  <c r="X12" i="1" s="1"/>
  <c r="W20" i="1"/>
  <c r="X20" i="1" s="1"/>
  <c r="W11" i="1"/>
  <c r="X11" i="1" s="1"/>
  <c r="W13" i="1"/>
  <c r="X13" i="1" s="1"/>
  <c r="W17" i="1"/>
  <c r="X17" i="1" s="1"/>
  <c r="W15" i="1"/>
  <c r="X15" i="1" s="1"/>
  <c r="W19" i="1"/>
  <c r="X19" i="1" s="1"/>
  <c r="X23" i="1" l="1"/>
  <c r="D3" i="1" s="1"/>
</calcChain>
</file>

<file path=xl/comments1.xml><?xml version="1.0" encoding="utf-8"?>
<comments xmlns="http://schemas.openxmlformats.org/spreadsheetml/2006/main">
  <authors>
    <author>Fritz Birrer</author>
  </authors>
  <commentList>
    <comment ref="G14" authorId="0" shapeId="0">
      <text>
        <r>
          <rPr>
            <b/>
            <sz val="8"/>
            <color indexed="81"/>
            <rFont val="Tahoma"/>
            <family val="2"/>
          </rPr>
          <t>75% Gülle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4" authorId="0" shapeId="0">
      <text>
        <r>
          <rPr>
            <b/>
            <sz val="8"/>
            <color indexed="81"/>
            <rFont val="Tahoma"/>
            <family val="2"/>
          </rPr>
          <t>25% Mist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4" authorId="0" shapeId="0">
      <text>
        <r>
          <rPr>
            <b/>
            <sz val="8"/>
            <color indexed="81"/>
            <rFont val="Tahoma"/>
            <family val="2"/>
          </rPr>
          <t>50% Gülle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" authorId="0" shapeId="0">
      <text>
        <r>
          <rPr>
            <b/>
            <sz val="8"/>
            <color indexed="81"/>
            <rFont val="Tahoma"/>
            <family val="2"/>
          </rPr>
          <t xml:space="preserve">50% Mist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4" authorId="0" shapeId="0">
      <text>
        <r>
          <rPr>
            <b/>
            <sz val="8"/>
            <color indexed="81"/>
            <rFont val="Tahoma"/>
            <family val="2"/>
          </rPr>
          <t>25% Gülle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4" authorId="0" shapeId="0">
      <text>
        <r>
          <rPr>
            <b/>
            <sz val="8"/>
            <color indexed="81"/>
            <rFont val="Tahoma"/>
            <family val="2"/>
          </rPr>
          <t xml:space="preserve">75% Mist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<sst xmlns="http://schemas.openxmlformats.org/spreadsheetml/2006/main" count="695" uniqueCount="383">
  <si>
    <t>Berechnung der Lagerkapazität für Hofdünger und Abwasser</t>
  </si>
  <si>
    <t>Betrieb-Nr.:</t>
  </si>
  <si>
    <t>Gemeinde:</t>
  </si>
  <si>
    <t>Monate</t>
  </si>
  <si>
    <t>Datum:</t>
  </si>
  <si>
    <t>Rindvieh</t>
  </si>
  <si>
    <t>Pferde</t>
  </si>
  <si>
    <t xml:space="preserve"> </t>
  </si>
  <si>
    <t>Schweine</t>
  </si>
  <si>
    <t>Zuchteber</t>
  </si>
  <si>
    <t>Geflügel</t>
  </si>
  <si>
    <t>Mastpoulets</t>
  </si>
  <si>
    <t>Betriebsabwasser</t>
  </si>
  <si>
    <t>Reinigung</t>
  </si>
  <si>
    <t>Milchkammer</t>
  </si>
  <si>
    <t>Kühltank</t>
  </si>
  <si>
    <t>Melkstand</t>
  </si>
  <si>
    <t>Vorrat</t>
  </si>
  <si>
    <t>Manko</t>
  </si>
  <si>
    <t>%</t>
  </si>
  <si>
    <t>Ort / Datum:</t>
  </si>
  <si>
    <t>Grossviehmast</t>
  </si>
  <si>
    <t>Kälbermast</t>
  </si>
  <si>
    <t>Ziegen</t>
  </si>
  <si>
    <t>Nutzgeflügel</t>
  </si>
  <si>
    <t>Legehennen</t>
  </si>
  <si>
    <t>Kaninchen</t>
  </si>
  <si>
    <t>Zwischentotal Rindvieh</t>
  </si>
  <si>
    <t>Zwischentotal Pferde</t>
  </si>
  <si>
    <t>Zwischentotal Schafe</t>
  </si>
  <si>
    <t>Zwischentotal Ziegen</t>
  </si>
  <si>
    <t>Zwischentotal Schweine</t>
  </si>
  <si>
    <t>Zwischentotal Nutzgeflügel</t>
  </si>
  <si>
    <t>Erfassen des übrigen Tierbestandes</t>
  </si>
  <si>
    <t>Berater:</t>
  </si>
  <si>
    <t>Erfassen des Rindvieh-, Schweine-, Geflügelbestandes</t>
  </si>
  <si>
    <t>Bemerkung:</t>
  </si>
  <si>
    <t>Steuercode für Buttons</t>
  </si>
  <si>
    <t>Produktions-Zone:</t>
  </si>
  <si>
    <t>Nur Laufstallmist</t>
  </si>
  <si>
    <t>Geflügelmist (Kotband)</t>
  </si>
  <si>
    <t>Geflügelmist (Kotgrube)</t>
  </si>
  <si>
    <t>GVE</t>
  </si>
  <si>
    <t>Wasser für Stallreinigung und Tierpflege</t>
  </si>
  <si>
    <t>MSP</t>
  </si>
  <si>
    <t>Wasser zur Reinigung von Legehennenställen</t>
  </si>
  <si>
    <t>Wasser zur Reinigung von Mastgeflügelställen</t>
  </si>
  <si>
    <t>100 LHP</t>
  </si>
  <si>
    <t>Betrieb</t>
  </si>
  <si>
    <t>Hausabwasser</t>
  </si>
  <si>
    <t>Normale Verhältnisse
mit Waschmaschine, Bad/Dusche, WC</t>
  </si>
  <si>
    <t>Einfache Verhältnisse
mit einfachen sanitären Einrichtungen</t>
  </si>
  <si>
    <t>Sonderfall
mit dauernd deutlich geringerem Anfall</t>
  </si>
  <si>
    <t>Einheit</t>
  </si>
  <si>
    <t>Gülle</t>
  </si>
  <si>
    <t>Mist</t>
  </si>
  <si>
    <t>Faktor</t>
  </si>
  <si>
    <t>Gülle m3</t>
  </si>
  <si>
    <t>Mist t</t>
  </si>
  <si>
    <t>Stück</t>
  </si>
  <si>
    <t>Platz</t>
  </si>
  <si>
    <t>Zuchtstier</t>
  </si>
  <si>
    <t>Band</t>
  </si>
  <si>
    <t>Kotgrube / Bodenhaltung</t>
  </si>
  <si>
    <t>100 Pl.</t>
  </si>
  <si>
    <t>Junghennen</t>
  </si>
  <si>
    <t>Masttruten</t>
  </si>
  <si>
    <t>Milchkuh</t>
  </si>
  <si>
    <t>Jungvieh &lt; 1-jährig</t>
  </si>
  <si>
    <t>Jungvieh 1-2-jährig</t>
  </si>
  <si>
    <t>Rind &gt; 2-jährig</t>
  </si>
  <si>
    <t>Mastkalb (Platz)</t>
  </si>
  <si>
    <t>Maultiere, Maulesel</t>
  </si>
  <si>
    <t>Ponies, Kleinpferde und Esel</t>
  </si>
  <si>
    <t>Pferd &gt; 3-jährig</t>
  </si>
  <si>
    <t>Zuchtschwein inkl. Ferkel bis 25 kg</t>
  </si>
  <si>
    <t>m3/Jahr</t>
  </si>
  <si>
    <t>100 Pl</t>
  </si>
  <si>
    <t>Weidemastlamm (Stück)</t>
  </si>
  <si>
    <t>Rothirsch jeden Alters</t>
  </si>
  <si>
    <t>Lama &gt; 2-jährig</t>
  </si>
  <si>
    <t>Lama &lt; 2-jährig</t>
  </si>
  <si>
    <t>Alpaka &gt; 2-jährig</t>
  </si>
  <si>
    <t>Alpaka &lt; 2-jährig</t>
  </si>
  <si>
    <t>Bison &gt; 3-jährig</t>
  </si>
  <si>
    <t>Bison &lt; 3-jährig</t>
  </si>
  <si>
    <t>Damhirsch jeden Alters</t>
  </si>
  <si>
    <t>Mistanfall</t>
  </si>
  <si>
    <t>Gülleanfall verdünnt</t>
  </si>
  <si>
    <t>Berechnung des Lagervolumens für Güllegrube und Mistplatz</t>
  </si>
  <si>
    <t xml:space="preserve">Schafe  </t>
  </si>
  <si>
    <t>Ist-Zustand: Lagervolumen in Prozent des Bedarf</t>
  </si>
  <si>
    <t>Soll-Zustand: Minimale Lagerdauer</t>
  </si>
  <si>
    <t>GVE pro Einheit</t>
  </si>
  <si>
    <t>MSP pro Einheit</t>
  </si>
  <si>
    <t>100 LHP pro Einheit</t>
  </si>
  <si>
    <t>Anzahl GVE</t>
  </si>
  <si>
    <t>Anzahl MSP</t>
  </si>
  <si>
    <t>Anzahl 100 LHP</t>
  </si>
  <si>
    <t>100 MPP</t>
  </si>
  <si>
    <t xml:space="preserve">Säugende Zuchtsau </t>
  </si>
  <si>
    <t xml:space="preserve">Mastschwein 25 - 100 kg LG, Remonten  </t>
  </si>
  <si>
    <t xml:space="preserve">Ferkel abgesetzt  </t>
  </si>
  <si>
    <t xml:space="preserve">Galtsau  </t>
  </si>
  <si>
    <t>Hofdüngeranfall zur Berechnung der Lagervolumen</t>
  </si>
  <si>
    <t xml:space="preserve">Mastkalb </t>
  </si>
  <si>
    <t>nur Vollgülle</t>
  </si>
  <si>
    <t>Lauftstallmist und viel Vollgülle</t>
  </si>
  <si>
    <t>Laufstallmist und Vollgülle</t>
  </si>
  <si>
    <t>Lauftstallmist und wenig Vollgülle</t>
  </si>
  <si>
    <t>(LM 75: 60-90% eingestreut)</t>
  </si>
  <si>
    <t>Reinigung:</t>
  </si>
  <si>
    <t>Melkanlage</t>
  </si>
  <si>
    <t xml:space="preserve">Güllegrube </t>
  </si>
  <si>
    <t xml:space="preserve">
Produktions-stätte:</t>
  </si>
  <si>
    <r>
      <t xml:space="preserve">Erfassen des Abwasseranfalls </t>
    </r>
    <r>
      <rPr>
        <sz val="12"/>
        <rFont val="Arial"/>
        <family val="2"/>
      </rPr>
      <t>(Betrieb und Wohnungen)</t>
    </r>
  </si>
  <si>
    <t>Abwasser aus Flachsilo</t>
  </si>
  <si>
    <t>Talzone</t>
  </si>
  <si>
    <t>Hügelzone</t>
  </si>
  <si>
    <t>Bergzone</t>
  </si>
  <si>
    <t>Nicht im Bereich der öffentlichen Kanalisation:</t>
  </si>
  <si>
    <r>
      <t>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/Jahr</t>
    </r>
  </si>
  <si>
    <r>
      <t>m</t>
    </r>
    <r>
      <rPr>
        <vertAlign val="superscript"/>
        <sz val="11"/>
        <rFont val="Arial"/>
        <family val="2"/>
      </rPr>
      <t>3</t>
    </r>
  </si>
  <si>
    <t>Automatisches Melksystem</t>
  </si>
  <si>
    <r>
      <t>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Gülle Anfall pro Jahr</t>
    </r>
  </si>
  <si>
    <r>
      <t>Fläche in m</t>
    </r>
    <r>
      <rPr>
        <vertAlign val="superscript"/>
        <sz val="11"/>
        <rFont val="Arial"/>
        <family val="2"/>
      </rPr>
      <t>2</t>
    </r>
  </si>
  <si>
    <r>
      <t>m</t>
    </r>
    <r>
      <rPr>
        <b/>
        <vertAlign val="superscript"/>
        <sz val="11"/>
        <rFont val="Arial"/>
        <family val="2"/>
      </rPr>
      <t xml:space="preserve">3 </t>
    </r>
    <r>
      <rPr>
        <b/>
        <sz val="11"/>
        <rFont val="Arial"/>
        <family val="2"/>
      </rPr>
      <t>Gülle Anfall pro Jahr</t>
    </r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</si>
  <si>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Gülle Anfall pro Jahr</t>
    </r>
  </si>
  <si>
    <t>Abschlämmwasser Biowäscher gemäss Angaben Hersteller</t>
  </si>
  <si>
    <t>Art des Abwassers</t>
  </si>
  <si>
    <t>Anzahl Tage      in Betrieb</t>
  </si>
  <si>
    <t>Belegungs-grad (%)</t>
  </si>
  <si>
    <t>Anfall</t>
  </si>
  <si>
    <t>Restaurationsbetriebe</t>
  </si>
  <si>
    <t>Restaurant normale Belegung</t>
  </si>
  <si>
    <t>Sitzplatz</t>
  </si>
  <si>
    <t>Saal, Garten von Restaurant</t>
  </si>
  <si>
    <t>Partyraum</t>
  </si>
  <si>
    <t>Ferien auf dem Baurnhof</t>
  </si>
  <si>
    <t>Bett</t>
  </si>
  <si>
    <t>Schlafen im Stroh</t>
  </si>
  <si>
    <t>1000 kg Milch</t>
  </si>
  <si>
    <t>Grossvieh</t>
  </si>
  <si>
    <t>Kleinvieh</t>
  </si>
  <si>
    <t>Kleinmosterei</t>
  </si>
  <si>
    <t>t Früchte</t>
  </si>
  <si>
    <t>Sauerkrautproduktion</t>
  </si>
  <si>
    <t>t Kraut</t>
  </si>
  <si>
    <t>Brennerei</t>
  </si>
  <si>
    <t>hl.r. Alkohol</t>
  </si>
  <si>
    <t>Ausmastkuh</t>
  </si>
  <si>
    <t>Milchmenge kg</t>
  </si>
  <si>
    <t>Eimermelkanlage</t>
  </si>
  <si>
    <t>nicht überdachte in Güllegrube entwässerte Flächen</t>
  </si>
  <si>
    <t>Laufhof und andere Auslaufflächen</t>
  </si>
  <si>
    <t>offene Jauchegrube</t>
  </si>
  <si>
    <t>Flachsilo</t>
  </si>
  <si>
    <t>andere Flächen</t>
  </si>
  <si>
    <t>Abwasser Mistplatz, Laufhof, Waschplatz etc.</t>
  </si>
  <si>
    <t xml:space="preserve">Anzahl Melkeinheiten   </t>
  </si>
  <si>
    <t xml:space="preserve">Anzahl Einheiten   </t>
  </si>
  <si>
    <r>
      <t>Fläche in m</t>
    </r>
    <r>
      <rPr>
        <vertAlign val="superscript"/>
        <sz val="11"/>
        <rFont val="Arial"/>
        <family val="2"/>
      </rPr>
      <t xml:space="preserve">2      </t>
    </r>
  </si>
  <si>
    <t>Eigene Lagerkapazität vorhanden</t>
  </si>
  <si>
    <t>Lagerkapazität geplant</t>
  </si>
  <si>
    <t>Ist-Zustand: Lagervolumen</t>
  </si>
  <si>
    <t xml:space="preserve">Ist-Zustand: maximale Lagerdauer </t>
  </si>
  <si>
    <t>Gülleanfall</t>
  </si>
  <si>
    <t>Galtkuh</t>
  </si>
  <si>
    <t>Geflügelmist 
verflüssigt</t>
  </si>
  <si>
    <r>
      <t>m</t>
    </r>
    <r>
      <rPr>
        <vertAlign val="superscript"/>
        <sz val="11"/>
        <rFont val="Arial"/>
        <family val="2"/>
      </rPr>
      <t xml:space="preserve">3  </t>
    </r>
  </si>
  <si>
    <t>Geflügelkot 
verflüssigt</t>
  </si>
  <si>
    <t>Geflügelkot in Gülle</t>
  </si>
  <si>
    <t>Geflügelmist in Gülle</t>
  </si>
  <si>
    <t>Landwirtschaftlicher Nebenerwerb</t>
  </si>
  <si>
    <r>
      <t>Erfassen des Abwasseranfalls</t>
    </r>
    <r>
      <rPr>
        <b/>
        <sz val="13"/>
        <rFont val="Arial"/>
        <family val="2"/>
      </rPr>
      <t xml:space="preserve"> (Nebenerwerb)</t>
    </r>
  </si>
  <si>
    <t xml:space="preserve">Volumen(l)   </t>
  </si>
  <si>
    <r>
      <t>Zwischentotal Betriebsabwasser m</t>
    </r>
    <r>
      <rPr>
        <b/>
        <vertAlign val="superscript"/>
        <sz val="11"/>
        <rFont val="Arial Black"/>
        <family val="2"/>
      </rPr>
      <t>3</t>
    </r>
  </si>
  <si>
    <t>Abwasser Landwirtschaftlicher Nebenerwerb</t>
  </si>
  <si>
    <t>Laufstallmist und Vollgülle
(40-60% eingestreut)</t>
  </si>
  <si>
    <t>Laufstallmist und wenig Vollgülle 
(60-90% eingestreut)</t>
  </si>
  <si>
    <t xml:space="preserve">Nur Vollgülle </t>
  </si>
  <si>
    <t xml:space="preserve">Nur Laufstallmist </t>
  </si>
  <si>
    <t>Laufstallmist und wenig Vollgülle (60-90% eingestreut)</t>
  </si>
  <si>
    <t>Biowäscher</t>
  </si>
  <si>
    <t>Andere Raufutterverzehrende Tiere</t>
  </si>
  <si>
    <t>Produzierende Zibben (inkl. Jungtiere bis ca. 35 Tage)</t>
  </si>
  <si>
    <t>Jungtiere (Mast- bzw. Aufzucht; ab 35 Tage)</t>
  </si>
  <si>
    <t>Stallreinigung und Tierpflege Rindvieh</t>
  </si>
  <si>
    <t>(100 LHP = 250 MPP)</t>
  </si>
  <si>
    <t xml:space="preserve">Anzahl Standplätze   </t>
  </si>
  <si>
    <t>Kaninchenmist in Gülle</t>
  </si>
  <si>
    <t>Wasser zur Reinigung von Ställen</t>
  </si>
  <si>
    <t>Zwischentotal Kaninchen</t>
  </si>
  <si>
    <t xml:space="preserve"> Nur Mist</t>
  </si>
  <si>
    <t xml:space="preserve"> Mist 
 verflüssigt</t>
  </si>
  <si>
    <t>Weidemastgitzi (Stück)</t>
  </si>
  <si>
    <t>Weidemastlamm / -gitzi (Stück)</t>
  </si>
  <si>
    <r>
      <t>Zwischentotal Hausabwasser m</t>
    </r>
    <r>
      <rPr>
        <b/>
        <vertAlign val="superscript"/>
        <sz val="11"/>
        <rFont val="Arial Black"/>
        <family val="2"/>
      </rPr>
      <t>3</t>
    </r>
  </si>
  <si>
    <r>
      <t>Güllegruben und Schwemmkanäle m</t>
    </r>
    <r>
      <rPr>
        <b/>
        <vertAlign val="superscript"/>
        <sz val="12"/>
        <rFont val="Arial Black"/>
        <family val="2"/>
      </rPr>
      <t>3</t>
    </r>
  </si>
  <si>
    <r>
      <t>Zwischentotal Grubenvolumen m</t>
    </r>
    <r>
      <rPr>
        <b/>
        <vertAlign val="superscript"/>
        <sz val="11"/>
        <rFont val="Arial Black"/>
        <family val="2"/>
      </rPr>
      <t>3</t>
    </r>
  </si>
  <si>
    <r>
      <t>Zwischentotal Mistlager m</t>
    </r>
    <r>
      <rPr>
        <b/>
        <vertAlign val="superscript"/>
        <sz val="11"/>
        <rFont val="Arial Black"/>
        <family val="2"/>
      </rPr>
      <t>3</t>
    </r>
  </si>
  <si>
    <t>Käsereien</t>
  </si>
  <si>
    <t>Betriebsleiterhaus</t>
  </si>
  <si>
    <t>Stöckli</t>
  </si>
  <si>
    <t>andere Wohnungen</t>
  </si>
  <si>
    <t>bewohnbare Zimmer</t>
  </si>
  <si>
    <t>Anzahl Bewohner</t>
  </si>
  <si>
    <t>Kanalisations-anschluss</t>
  </si>
  <si>
    <r>
      <t>Korrektur häusliches Abwasser  pauschal +/- Anzahl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pro Jahr</t>
    </r>
  </si>
  <si>
    <r>
      <t>Korrektur Betriebsabwasser pauschal +/- Anzahl m</t>
    </r>
    <r>
      <rPr>
        <vertAlign val="superscript"/>
        <sz val="11"/>
        <rFont val="Arial"/>
        <family val="2"/>
      </rPr>
      <t xml:space="preserve">3 </t>
    </r>
    <r>
      <rPr>
        <sz val="11"/>
        <rFont val="Arial"/>
        <family val="2"/>
      </rPr>
      <t>pro Jahr</t>
    </r>
  </si>
  <si>
    <t>Blatt 2</t>
  </si>
  <si>
    <t>Blatt 3</t>
  </si>
  <si>
    <t>Blatt 4</t>
  </si>
  <si>
    <t xml:space="preserve">DGVE </t>
  </si>
  <si>
    <t>Tierart</t>
  </si>
  <si>
    <t>Milchschafe / Milchziegen</t>
  </si>
  <si>
    <t xml:space="preserve">Stallreinigung und Tierpflege </t>
  </si>
  <si>
    <t>Anzahl 100 MPP</t>
  </si>
  <si>
    <t xml:space="preserve">Reinigung von Legehennenställen </t>
  </si>
  <si>
    <t xml:space="preserve">Reinigung von Mastgeflügelställen </t>
  </si>
  <si>
    <t xml:space="preserve">Stallreinigung </t>
  </si>
  <si>
    <t>Milchschafe</t>
  </si>
  <si>
    <t>Milchziegen</t>
  </si>
  <si>
    <t>Laufstallmist und viel Vollgülle 
(10-40% eingestreut)</t>
  </si>
  <si>
    <r>
      <t>Betriebsabwasser
pro Jahr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</si>
  <si>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Hausabwasser
pro bewohnbare Zimmer und Jahr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</si>
  <si>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Gülle Anfall pro Jahr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</si>
  <si>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Zwischentotal landwirtschaftlicher Nebenerwerb m</t>
    </r>
    <r>
      <rPr>
        <b/>
        <vertAlign val="superscript"/>
        <sz val="11"/>
        <rFont val="Arial Black"/>
        <family val="2"/>
      </rPr>
      <t>3</t>
    </r>
  </si>
  <si>
    <r>
      <t>Erfassen der Hofdüngerlager</t>
    </r>
    <r>
      <rPr>
        <b/>
        <sz val="18"/>
        <rFont val="Arial"/>
        <family val="2"/>
      </rPr>
      <t xml:space="preserve"> </t>
    </r>
    <r>
      <rPr>
        <sz val="12"/>
        <rFont val="Arial"/>
        <family val="2"/>
      </rPr>
      <t>(Güllegruben, Mistlagerplätze)</t>
    </r>
  </si>
  <si>
    <r>
      <t xml:space="preserve">Hausabwasser </t>
    </r>
    <r>
      <rPr>
        <b/>
        <sz val="11"/>
        <rFont val="Arial"/>
        <family val="2"/>
      </rPr>
      <t>(normale Verhältnisse)</t>
    </r>
  </si>
  <si>
    <t>Mist verflüssigt</t>
  </si>
  <si>
    <t>Tierpflege</t>
  </si>
  <si>
    <t>Tierpflege Pferde</t>
  </si>
  <si>
    <t xml:space="preserve">Jahresniederschlag:  </t>
  </si>
  <si>
    <t>Waschplatz</t>
  </si>
  <si>
    <t>Grundlagen: GRUDAF 2009; Vollzugshilfe Umweltschutz in der Landwirtschaft, BAFU und BLW 2011; Nachweis.Plus, Agridea</t>
  </si>
  <si>
    <t>1000 mm</t>
  </si>
  <si>
    <t>1200 mm</t>
  </si>
  <si>
    <t>Jahresniederschlag</t>
  </si>
  <si>
    <t>Im Bereich der öffentlichen Kanalisation:</t>
  </si>
  <si>
    <t>(LM 25: 10 - 40% eingestreut)</t>
  </si>
  <si>
    <t>(LM 50: 40 - 60% eingestreut)</t>
  </si>
  <si>
    <t>Spaltenboden</t>
  </si>
  <si>
    <t>Lauftsallmist und Vollgülle 
(40-60% eingestreut)</t>
  </si>
  <si>
    <t xml:space="preserve">Schorrgraben, Laufstall mit befestigtem </t>
  </si>
  <si>
    <t>Tretmist, Tiefstreue (Offenfrontstall)</t>
  </si>
  <si>
    <t>Fressplatz, Tiefstreue mit Spaltenbodenfressplatz</t>
  </si>
  <si>
    <t>Auf-stallungs-system</t>
  </si>
  <si>
    <t>Gülleanfall unverdünnt (Vollgülle)</t>
  </si>
  <si>
    <t>Erstelldatum:</t>
  </si>
  <si>
    <t>Produktions-stätte (Adresse):</t>
  </si>
  <si>
    <t>Unterschrift Eigentümer oder Betreiber:</t>
  </si>
  <si>
    <t>Landwirtschaftliche Nutzfläche (ha):</t>
  </si>
  <si>
    <t>Düngbare Fläche (ha):</t>
  </si>
  <si>
    <t>Kanton Aargau</t>
  </si>
  <si>
    <t>Name, Vorname:</t>
  </si>
  <si>
    <t>Strasse:</t>
  </si>
  <si>
    <t>PLZ, Ort:</t>
  </si>
  <si>
    <t>Telefon:</t>
  </si>
  <si>
    <t>Hofdüngerabgabe:</t>
  </si>
  <si>
    <t>Mindestlagerdauer (Monate):</t>
  </si>
  <si>
    <t>säugende und trächtige Stute</t>
  </si>
  <si>
    <t>Milchschaf</t>
  </si>
  <si>
    <t>Schaf</t>
  </si>
  <si>
    <t>Milchziege</t>
  </si>
  <si>
    <t>Ziege</t>
  </si>
  <si>
    <t>Produktions-stätte</t>
  </si>
  <si>
    <t>Fohlen 1/2 - 3-jährig</t>
  </si>
  <si>
    <t xml:space="preserve">Ziege </t>
  </si>
  <si>
    <t xml:space="preserve">Mastschwein 25 - 100 kg LG, Remonten </t>
  </si>
  <si>
    <t xml:space="preserve">Galtsau </t>
  </si>
  <si>
    <t xml:space="preserve">Ferkel abgesetzt </t>
  </si>
  <si>
    <t>Anzahl    Einheiten</t>
  </si>
  <si>
    <t>Zwischentotal andere Raufutterverzehrende Tiere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</si>
  <si>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/ 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</si>
  <si>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/ 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</si>
  <si>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/ Jahr</t>
    </r>
  </si>
  <si>
    <t>plus je Melkeinheit</t>
  </si>
  <si>
    <t xml:space="preserve">Bedarf Lagervolumen  </t>
  </si>
  <si>
    <r>
      <t>Mistlagerplätze m</t>
    </r>
    <r>
      <rPr>
        <vertAlign val="superscript"/>
        <sz val="12"/>
        <rFont val="Arial Black"/>
        <family val="2"/>
      </rPr>
      <t xml:space="preserve">3 </t>
    </r>
  </si>
  <si>
    <t xml:space="preserve">
</t>
  </si>
  <si>
    <r>
      <t xml:space="preserve">Landwirtschaftliche Verwertung der häuslichen Abwässer </t>
    </r>
    <r>
      <rPr>
        <b/>
        <sz val="10"/>
        <rFont val="Arial Black"/>
        <family val="2"/>
      </rPr>
      <t>(nur für Betriebe ausserhalb Baugebiet zulässig)</t>
    </r>
  </si>
  <si>
    <t>Abwasseranfall gemäss Hersteller</t>
  </si>
  <si>
    <t>Bemerkungen:</t>
  </si>
  <si>
    <t>Bermerkungen:</t>
  </si>
  <si>
    <t>Vorhanden?</t>
  </si>
  <si>
    <t>Überprüfung</t>
  </si>
  <si>
    <t>Pflicht?</t>
  </si>
  <si>
    <t>Kontrollzahl</t>
  </si>
  <si>
    <t>Zahlenwerte vorhanden?</t>
  </si>
  <si>
    <t>Schlachttag</t>
  </si>
  <si>
    <t>Hochdruckwasser Anfall pro Jahr</t>
  </si>
  <si>
    <t>Schlachtlokale mit Normaldruckwasser</t>
  </si>
  <si>
    <r>
      <t>0.5 m</t>
    </r>
    <r>
      <rPr>
        <vertAlign val="superscript"/>
        <sz val="8"/>
        <rFont val="Arial"/>
        <family val="2"/>
      </rPr>
      <t>3</t>
    </r>
  </si>
  <si>
    <r>
      <t>2 m</t>
    </r>
    <r>
      <rPr>
        <vertAlign val="superscript"/>
        <sz val="8"/>
        <rFont val="Arial"/>
        <family val="2"/>
      </rPr>
      <t>3</t>
    </r>
  </si>
  <si>
    <r>
      <t>0.02 m</t>
    </r>
    <r>
      <rPr>
        <vertAlign val="superscript"/>
        <sz val="8"/>
        <rFont val="Arial"/>
        <family val="2"/>
      </rPr>
      <t>3</t>
    </r>
  </si>
  <si>
    <t>Korrektur Abzug Hochdruckwasserversorgung</t>
  </si>
  <si>
    <t>Kreislaufanlagen Fische</t>
  </si>
  <si>
    <r>
      <t xml:space="preserve">Ablaufwasser pro Tag mindstens 5% der Anlagegrösse </t>
    </r>
    <r>
      <rPr>
        <b/>
        <sz val="11"/>
        <rFont val="Arial"/>
        <family val="2"/>
      </rPr>
      <t/>
    </r>
  </si>
  <si>
    <t>Korrektur Abzug Ablaufwasser sofern nicht in Güllegrube geleitet</t>
  </si>
  <si>
    <t>Schlammanteil aus Rückspülung der Filter</t>
  </si>
  <si>
    <r>
      <t>10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Anlage</t>
    </r>
  </si>
  <si>
    <t>Betriebswasseranfall pauschal Erfahrungswert oder Korrektur +/-</t>
  </si>
  <si>
    <t>Grundlagen: GRUD 2017; Vollzugshilfe Umweltschutz in der Landwirtschaft, BAFU und BLW 2011; Nachweis.Plus, Agridea</t>
  </si>
  <si>
    <t>Mutterkuh schwer &gt; 700 kg</t>
  </si>
  <si>
    <t>je 1000 kg geringere Milchleistung als 7500 kg ist mit  5 % geringeren, je 1000 kg mehr Milchleistung ist mit 5 % höheren Anfallswertung zu rechnen</t>
  </si>
  <si>
    <t>Mutterkuh mittel 600-700 kg</t>
  </si>
  <si>
    <t xml:space="preserve">Grundlage: GRUD 2017 </t>
  </si>
  <si>
    <t>GVE-Faktor</t>
  </si>
  <si>
    <t>Raumgewicht</t>
  </si>
  <si>
    <t xml:space="preserve">m3 Mist- 
Anfall pro Jahr </t>
  </si>
  <si>
    <r>
      <t>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Mist- 
Anfall pro Jahr </t>
    </r>
  </si>
  <si>
    <r>
      <t>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 Kot Anfall pro Jahr</t>
    </r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</si>
  <si>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Mist- 
Anfall pro Jahr</t>
    </r>
    <r>
      <rPr>
        <b/>
        <sz val="9"/>
        <rFont val="Arial"/>
        <family val="2"/>
      </rPr>
      <t xml:space="preserve"> </t>
    </r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</si>
  <si>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 Mist- 
Anfall pro Jahr</t>
    </r>
    <r>
      <rPr>
        <b/>
        <sz val="9"/>
        <rFont val="Arial"/>
        <family val="2"/>
      </rPr>
      <t xml:space="preserve"> </t>
    </r>
  </si>
  <si>
    <r>
      <t>m</t>
    </r>
    <r>
      <rPr>
        <vertAlign val="superscript"/>
        <sz val="11"/>
        <rFont val="Arial"/>
        <family val="2"/>
      </rPr>
      <t xml:space="preserve">3 </t>
    </r>
    <r>
      <rPr>
        <sz val="11"/>
        <rFont val="Arial"/>
        <family val="2"/>
      </rPr>
      <t>/Jahr</t>
    </r>
  </si>
  <si>
    <r>
      <t>Mistlager</t>
    </r>
    <r>
      <rPr>
        <sz val="11"/>
        <rFont val="Arial"/>
        <family val="2"/>
      </rPr>
      <t/>
    </r>
  </si>
  <si>
    <t>Mutterkuh schwer &gt; 700 kg, ohne Kalb</t>
  </si>
  <si>
    <t>Muttekuhhaltung</t>
  </si>
  <si>
    <t>Anzahl DGVE</t>
  </si>
  <si>
    <t>DGVE pro Einheit</t>
  </si>
  <si>
    <t>Mutterkuh leicht bis 600 kg, ohne Kalb</t>
  </si>
  <si>
    <t>Mutterkuh leicht bis 600 kg</t>
  </si>
  <si>
    <t>Mutterkuh mittel 600 - 700 kg, ohne Kalb</t>
  </si>
  <si>
    <t>Ngesamt</t>
  </si>
  <si>
    <t>Phosphor</t>
  </si>
  <si>
    <t>DGVE</t>
  </si>
  <si>
    <t>DGVE Faktor</t>
  </si>
  <si>
    <t>Anzahl DGVE Rinder und Schweine:</t>
  </si>
  <si>
    <t>GVE Faktor</t>
  </si>
  <si>
    <t>DVGE Faktor</t>
  </si>
  <si>
    <t>Milchkuh (7500 kg Milchleistung)</t>
  </si>
  <si>
    <t xml:space="preserve">Korr Gülleanfall wenn Milchleistung kleiner als 7500kg </t>
  </si>
  <si>
    <t xml:space="preserve">Korr Gülleanfall wenn Milchleistung grösser als 7500 kg </t>
  </si>
  <si>
    <t>Korr Mistanfall wenn Milchleistung kleiner als 7500kg</t>
  </si>
  <si>
    <t>Korr MistGülleanfall wenn Milchleistung grösser als 7500 kg</t>
  </si>
  <si>
    <t>Anteil Vollgülle in der verdünnten Gülle (Verdünnung):</t>
  </si>
  <si>
    <t>(Praxis Kanton Aargau)</t>
  </si>
  <si>
    <t>Verdünnung inkl. Mistverflüssigung und Zufuhr (Praxis Kanton Aargau):</t>
  </si>
  <si>
    <t>Zufuhr Hof- oder Recyclingdünger</t>
  </si>
  <si>
    <t xml:space="preserve"> (Praxis Kanton Aargau)</t>
  </si>
  <si>
    <r>
      <t>Rindviehmast</t>
    </r>
    <r>
      <rPr>
        <sz val="10"/>
        <color indexed="8"/>
        <rFont val="Arial"/>
        <family val="2"/>
      </rPr>
      <t xml:space="preserve"> &lt; 4 Mte.  </t>
    </r>
  </si>
  <si>
    <r>
      <t xml:space="preserve">Rindviehmast </t>
    </r>
    <r>
      <rPr>
        <sz val="10"/>
        <rFont val="Arial"/>
        <family val="2"/>
      </rPr>
      <t xml:space="preserve"> &gt; 4 Mte.  </t>
    </r>
  </si>
  <si>
    <t>Mutterkuhkalb bis 350 kg</t>
  </si>
  <si>
    <t>Mutterkuhkalb bis 250 kg</t>
  </si>
  <si>
    <t>Blatt 6</t>
  </si>
  <si>
    <t xml:space="preserve">Koordination 
Landwirtschaft / Umweltschutz
Anhang (Stand April 2021)
</t>
  </si>
  <si>
    <t>Koordination 
Landwirtschaft / Umweltschutz
Formular (Stand April 2021)</t>
  </si>
  <si>
    <t>Güllegruben</t>
  </si>
  <si>
    <t>Prüfdatum</t>
  </si>
  <si>
    <t>Baujahr</t>
  </si>
  <si>
    <t>Abdeckung</t>
  </si>
  <si>
    <t>lang (m)</t>
  </si>
  <si>
    <t>breit (m)</t>
  </si>
  <si>
    <t>tief (m)</t>
  </si>
  <si>
    <t>Durchmesser (m)</t>
  </si>
  <si>
    <r>
      <t>Raumvolumen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</si>
  <si>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t>oder</t>
  </si>
  <si>
    <t>ja</t>
  </si>
  <si>
    <t>Schwemmkanäle</t>
  </si>
  <si>
    <t>Anzahl</t>
  </si>
  <si>
    <t>Mistlager</t>
  </si>
  <si>
    <r>
      <t>Volumen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</si>
  <si>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Nutzvolumen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
(Höhe - 10 cm)</t>
    </r>
  </si>
  <si>
    <t>Grube vermietet</t>
  </si>
  <si>
    <t>Grube gemietet</t>
  </si>
  <si>
    <t xml:space="preserve">Lagerkapazität gemietet  </t>
  </si>
  <si>
    <t>Lagerkapazität vermietet</t>
  </si>
  <si>
    <t>Platz vermietet</t>
  </si>
  <si>
    <t>Platz gemietet</t>
  </si>
  <si>
    <t>Tiefstreu im Stall</t>
  </si>
  <si>
    <t>nein</t>
  </si>
  <si>
    <t>Blatt 5</t>
  </si>
  <si>
    <r>
      <t>Abwasser-relevante Fläche (m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</t>
    </r>
  </si>
  <si>
    <r>
      <t xml:space="preserve">Berechnung der Lagerkapazität für Hofdünger und Abwasser </t>
    </r>
    <r>
      <rPr>
        <sz val="10"/>
        <rFont val="Arial Black"/>
        <family val="2"/>
      </rPr>
      <t>(6 Seiten)</t>
    </r>
  </si>
  <si>
    <t>Produktionsstätte</t>
  </si>
  <si>
    <t>Erfassen der bestehenden Hofdüngeranlagen (Mist und Gülle)</t>
  </si>
  <si>
    <t>Stapelhöhe (m)</t>
  </si>
  <si>
    <t>Mistplatzfläche geplant</t>
  </si>
  <si>
    <t>z.B. Musterweg 1</t>
  </si>
  <si>
    <t>z.B. beim Schweinestall</t>
  </si>
  <si>
    <t>Mistplatzfläche bestehend</t>
  </si>
  <si>
    <t>z.B. beim Rindviehstall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</si>
</sst>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0"/>
    <numFmt numFmtId="166" formatCode="0;\-0;;@"/>
  </numFmts>
  <fonts count="10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14"/>
      <name val="Arial Black"/>
      <family val="2"/>
    </font>
    <font>
      <sz val="14"/>
      <name val="Arial Black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sz val="11"/>
      <name val="Arial"/>
      <family val="2"/>
    </font>
    <font>
      <b/>
      <sz val="15"/>
      <name val="Arial Black"/>
      <family val="2"/>
    </font>
    <font>
      <sz val="10"/>
      <name val="Arial Black"/>
      <family val="2"/>
    </font>
    <font>
      <b/>
      <sz val="13"/>
      <name val="Arial"/>
      <family val="2"/>
    </font>
    <font>
      <sz val="11"/>
      <name val="Arial Black"/>
      <family val="2"/>
    </font>
    <font>
      <sz val="12"/>
      <name val="Arial Black"/>
      <family val="2"/>
    </font>
    <font>
      <b/>
      <sz val="16"/>
      <name val="Arial Black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vertAlign val="superscript"/>
      <sz val="11"/>
      <name val="Arial"/>
      <family val="2"/>
    </font>
    <font>
      <sz val="8"/>
      <name val="Arial"/>
      <family val="2"/>
    </font>
    <font>
      <b/>
      <vertAlign val="superscript"/>
      <sz val="11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b/>
      <i/>
      <sz val="11"/>
      <color indexed="12"/>
      <name val="Arial"/>
      <family val="2"/>
    </font>
    <font>
      <sz val="18"/>
      <color indexed="10"/>
      <name val="Arial"/>
      <family val="2"/>
    </font>
    <font>
      <strike/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1"/>
      <name val="Arial Black"/>
      <family val="2"/>
    </font>
    <font>
      <sz val="16"/>
      <color indexed="9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vertAlign val="superscript"/>
      <sz val="12"/>
      <name val="Arial Black"/>
      <family val="2"/>
    </font>
    <font>
      <b/>
      <vertAlign val="superscript"/>
      <sz val="12"/>
      <name val="Arial Black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 Black"/>
      <family val="2"/>
    </font>
    <font>
      <vertAlign val="superscript"/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00206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b/>
      <sz val="12"/>
      <color rgb="FF00B050"/>
      <name val="Arial"/>
      <family val="2"/>
    </font>
    <font>
      <i/>
      <sz val="10"/>
      <color rgb="FF00B050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0" fontId="19" fillId="0" borderId="0"/>
  </cellStyleXfs>
  <cellXfs count="1218">
    <xf numFmtId="0" fontId="0" fillId="0" borderId="0" xfId="0"/>
    <xf numFmtId="0" fontId="49" fillId="0" borderId="2" xfId="0" applyFont="1" applyBorder="1" applyProtection="1">
      <protection hidden="1"/>
    </xf>
    <xf numFmtId="0" fontId="4" fillId="0" borderId="2" xfId="0" applyFont="1" applyBorder="1" applyProtection="1">
      <protection hidden="1"/>
    </xf>
    <xf numFmtId="0" fontId="21" fillId="0" borderId="2" xfId="0" applyFont="1" applyBorder="1" applyProtection="1">
      <protection hidden="1"/>
    </xf>
    <xf numFmtId="0" fontId="1" fillId="0" borderId="2" xfId="0" applyFont="1" applyBorder="1" applyProtection="1">
      <protection hidden="1"/>
    </xf>
    <xf numFmtId="0" fontId="34" fillId="2" borderId="0" xfId="0" applyFont="1" applyFill="1" applyProtection="1">
      <protection hidden="1"/>
    </xf>
    <xf numFmtId="0" fontId="21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33" fillId="0" borderId="0" xfId="0" applyFont="1" applyProtection="1">
      <protection hidden="1"/>
    </xf>
    <xf numFmtId="0" fontId="32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right" vertical="top" wrapText="1"/>
      <protection hidden="1"/>
    </xf>
    <xf numFmtId="0" fontId="7" fillId="0" borderId="0" xfId="0" applyFont="1" applyProtection="1">
      <protection hidden="1"/>
    </xf>
    <xf numFmtId="0" fontId="54" fillId="2" borderId="0" xfId="0" applyFont="1" applyFill="1" applyProtection="1">
      <protection hidden="1"/>
    </xf>
    <xf numFmtId="0" fontId="37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55" fillId="2" borderId="0" xfId="0" applyFont="1" applyFill="1" applyProtection="1">
      <protection hidden="1"/>
    </xf>
    <xf numFmtId="0" fontId="38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1" fillId="0" borderId="3" xfId="0" applyFont="1" applyBorder="1" applyAlignment="1" applyProtection="1">
      <alignment vertical="center"/>
      <protection hidden="1"/>
    </xf>
    <xf numFmtId="0" fontId="4" fillId="0" borderId="4" xfId="0" applyFont="1" applyBorder="1" applyProtection="1">
      <protection hidden="1"/>
    </xf>
    <xf numFmtId="0" fontId="11" fillId="0" borderId="5" xfId="0" applyFont="1" applyBorder="1" applyAlignment="1" applyProtection="1">
      <alignment vertical="center"/>
      <protection hidden="1"/>
    </xf>
    <xf numFmtId="0" fontId="11" fillId="0" borderId="6" xfId="0" applyFont="1" applyBorder="1" applyAlignment="1" applyProtection="1">
      <alignment vertical="center"/>
      <protection hidden="1"/>
    </xf>
    <xf numFmtId="0" fontId="4" fillId="0" borderId="7" xfId="0" applyFont="1" applyBorder="1" applyProtection="1">
      <protection hidden="1"/>
    </xf>
    <xf numFmtId="0" fontId="25" fillId="0" borderId="0" xfId="0" applyFont="1" applyProtection="1">
      <protection hidden="1"/>
    </xf>
    <xf numFmtId="0" fontId="31" fillId="0" borderId="0" xfId="0" applyFont="1" applyProtection="1">
      <protection hidden="1"/>
    </xf>
    <xf numFmtId="0" fontId="26" fillId="0" borderId="0" xfId="0" applyFont="1" applyAlignment="1" applyProtection="1">
      <alignment horizontal="left" vertical="center" indent="5"/>
      <protection hidden="1"/>
    </xf>
    <xf numFmtId="0" fontId="23" fillId="0" borderId="0" xfId="0" applyFont="1" applyAlignment="1" applyProtection="1">
      <alignment horizontal="left" vertical="center" indent="5"/>
      <protection hidden="1"/>
    </xf>
    <xf numFmtId="0" fontId="3" fillId="0" borderId="0" xfId="0" applyFont="1" applyAlignment="1" applyProtection="1">
      <alignment horizontal="left" vertical="center" indent="5"/>
      <protection hidden="1"/>
    </xf>
    <xf numFmtId="0" fontId="15" fillId="0" borderId="8" xfId="0" applyFont="1" applyBorder="1" applyProtection="1">
      <protection hidden="1"/>
    </xf>
    <xf numFmtId="0" fontId="11" fillId="0" borderId="9" xfId="0" applyFont="1" applyBorder="1" applyProtection="1">
      <protection hidden="1"/>
    </xf>
    <xf numFmtId="0" fontId="11" fillId="0" borderId="10" xfId="0" applyFont="1" applyBorder="1" applyProtection="1">
      <protection hidden="1"/>
    </xf>
    <xf numFmtId="0" fontId="11" fillId="0" borderId="11" xfId="0" applyFont="1" applyBorder="1" applyProtection="1">
      <protection hidden="1"/>
    </xf>
    <xf numFmtId="0" fontId="0" fillId="0" borderId="11" xfId="0" applyBorder="1" applyProtection="1">
      <protection hidden="1"/>
    </xf>
    <xf numFmtId="0" fontId="11" fillId="0" borderId="12" xfId="0" applyFont="1" applyBorder="1" applyProtection="1">
      <protection hidden="1"/>
    </xf>
    <xf numFmtId="0" fontId="11" fillId="3" borderId="13" xfId="0" applyFont="1" applyFill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left"/>
      <protection hidden="1"/>
    </xf>
    <xf numFmtId="0" fontId="11" fillId="0" borderId="14" xfId="0" applyFont="1" applyBorder="1" applyProtection="1">
      <protection hidden="1"/>
    </xf>
    <xf numFmtId="0" fontId="15" fillId="0" borderId="13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11" fillId="0" borderId="15" xfId="0" applyFont="1" applyBorder="1" applyProtection="1">
      <protection hidden="1"/>
    </xf>
    <xf numFmtId="0" fontId="11" fillId="0" borderId="16" xfId="0" applyFont="1" applyBorder="1" applyProtection="1">
      <protection hidden="1"/>
    </xf>
    <xf numFmtId="0" fontId="11" fillId="0" borderId="17" xfId="0" applyFont="1" applyBorder="1" applyProtection="1">
      <protection hidden="1"/>
    </xf>
    <xf numFmtId="0" fontId="11" fillId="2" borderId="18" xfId="0" applyFont="1" applyFill="1" applyBorder="1" applyAlignment="1" applyProtection="1">
      <alignment horizontal="left"/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5" fillId="2" borderId="0" xfId="0" applyFont="1" applyFill="1" applyAlignment="1" applyProtection="1">
      <alignment horizontal="center"/>
      <protection hidden="1"/>
    </xf>
    <xf numFmtId="0" fontId="56" fillId="2" borderId="0" xfId="0" applyFont="1" applyFill="1" applyProtection="1">
      <protection hidden="1"/>
    </xf>
    <xf numFmtId="0" fontId="39" fillId="2" borderId="0" xfId="0" applyFont="1" applyFill="1" applyProtection="1">
      <protection hidden="1"/>
    </xf>
    <xf numFmtId="0" fontId="31" fillId="0" borderId="0" xfId="0" applyFont="1" applyAlignment="1" applyProtection="1">
      <alignment horizontal="center"/>
      <protection hidden="1"/>
    </xf>
    <xf numFmtId="0" fontId="26" fillId="2" borderId="0" xfId="0" applyFont="1" applyFill="1" applyAlignment="1" applyProtection="1">
      <alignment horizontal="center"/>
      <protection hidden="1"/>
    </xf>
    <xf numFmtId="0" fontId="23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15" fillId="0" borderId="19" xfId="0" applyFont="1" applyBorder="1" applyProtection="1">
      <protection hidden="1"/>
    </xf>
    <xf numFmtId="0" fontId="11" fillId="0" borderId="20" xfId="0" applyFont="1" applyBorder="1" applyProtection="1">
      <protection hidden="1"/>
    </xf>
    <xf numFmtId="0" fontId="34" fillId="2" borderId="0" xfId="0" applyFont="1" applyFill="1" applyAlignment="1" applyProtection="1">
      <alignment wrapText="1"/>
      <protection hidden="1"/>
    </xf>
    <xf numFmtId="0" fontId="21" fillId="2" borderId="0" xfId="0" applyFont="1" applyFill="1" applyAlignment="1" applyProtection="1">
      <alignment wrapText="1"/>
      <protection hidden="1"/>
    </xf>
    <xf numFmtId="0" fontId="4" fillId="2" borderId="0" xfId="0" applyFont="1" applyFill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11" fillId="0" borderId="21" xfId="0" applyFont="1" applyBorder="1" applyProtection="1">
      <protection hidden="1"/>
    </xf>
    <xf numFmtId="0" fontId="44" fillId="0" borderId="11" xfId="0" applyFont="1" applyBorder="1" applyProtection="1">
      <protection hidden="1"/>
    </xf>
    <xf numFmtId="0" fontId="46" fillId="0" borderId="11" xfId="0" applyFont="1" applyBorder="1" applyProtection="1">
      <protection hidden="1"/>
    </xf>
    <xf numFmtId="0" fontId="39" fillId="0" borderId="11" xfId="0" applyFont="1" applyBorder="1" applyProtection="1">
      <protection hidden="1"/>
    </xf>
    <xf numFmtId="0" fontId="11" fillId="3" borderId="12" xfId="0" applyFont="1" applyFill="1" applyBorder="1" applyAlignment="1" applyProtection="1">
      <alignment horizontal="left"/>
      <protection hidden="1"/>
    </xf>
    <xf numFmtId="0" fontId="15" fillId="2" borderId="12" xfId="0" applyFont="1" applyFill="1" applyBorder="1" applyAlignment="1" applyProtection="1">
      <alignment horizontal="center"/>
      <protection hidden="1"/>
    </xf>
    <xf numFmtId="0" fontId="11" fillId="3" borderId="22" xfId="0" applyFont="1" applyFill="1" applyBorder="1" applyAlignment="1" applyProtection="1">
      <alignment horizontal="left"/>
      <protection hidden="1"/>
    </xf>
    <xf numFmtId="0" fontId="60" fillId="2" borderId="0" xfId="0" applyFont="1" applyFill="1" applyProtection="1">
      <protection hidden="1"/>
    </xf>
    <xf numFmtId="0" fontId="65" fillId="2" borderId="0" xfId="0" applyFont="1" applyFill="1" applyProtection="1">
      <protection hidden="1"/>
    </xf>
    <xf numFmtId="0" fontId="18" fillId="2" borderId="0" xfId="0" applyFont="1" applyFill="1" applyProtection="1">
      <protection hidden="1"/>
    </xf>
    <xf numFmtId="0" fontId="18" fillId="0" borderId="0" xfId="0" applyFont="1" applyProtection="1">
      <protection hidden="1"/>
    </xf>
    <xf numFmtId="0" fontId="11" fillId="2" borderId="13" xfId="0" applyFont="1" applyFill="1" applyBorder="1" applyAlignment="1" applyProtection="1">
      <alignment horizontal="left"/>
      <protection hidden="1"/>
    </xf>
    <xf numFmtId="0" fontId="11" fillId="2" borderId="22" xfId="0" applyFont="1" applyFill="1" applyBorder="1" applyAlignment="1" applyProtection="1">
      <alignment horizontal="left"/>
      <protection hidden="1"/>
    </xf>
    <xf numFmtId="0" fontId="39" fillId="0" borderId="0" xfId="0" applyFont="1" applyProtection="1">
      <protection hidden="1"/>
    </xf>
    <xf numFmtId="0" fontId="11" fillId="2" borderId="13" xfId="0" applyFont="1" applyFill="1" applyBorder="1" applyAlignment="1" applyProtection="1">
      <alignment horizontal="left" vertical="center"/>
      <protection hidden="1"/>
    </xf>
    <xf numFmtId="0" fontId="11" fillId="2" borderId="22" xfId="0" applyFont="1" applyFill="1" applyBorder="1" applyAlignment="1" applyProtection="1">
      <alignment horizontal="left" vertical="center"/>
      <protection hidden="1"/>
    </xf>
    <xf numFmtId="0" fontId="11" fillId="3" borderId="13" xfId="0" applyFont="1" applyFill="1" applyBorder="1" applyAlignment="1" applyProtection="1">
      <alignment horizontal="left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0" fontId="11" fillId="3" borderId="23" xfId="0" applyFont="1" applyFill="1" applyBorder="1" applyAlignment="1" applyProtection="1">
      <alignment horizontal="left"/>
      <protection hidden="1"/>
    </xf>
    <xf numFmtId="0" fontId="15" fillId="0" borderId="24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2" borderId="25" xfId="0" applyFont="1" applyFill="1" applyBorder="1" applyAlignment="1" applyProtection="1">
      <alignment horizontal="left" vertical="center"/>
      <protection hidden="1"/>
    </xf>
    <xf numFmtId="0" fontId="11" fillId="2" borderId="26" xfId="0" applyFont="1" applyFill="1" applyBorder="1" applyAlignment="1" applyProtection="1">
      <alignment horizontal="left" vertical="center"/>
      <protection hidden="1"/>
    </xf>
    <xf numFmtId="0" fontId="15" fillId="0" borderId="27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2" borderId="28" xfId="0" applyFont="1" applyFill="1" applyBorder="1" applyAlignment="1" applyProtection="1">
      <alignment horizontal="left" vertical="center"/>
      <protection hidden="1"/>
    </xf>
    <xf numFmtId="0" fontId="11" fillId="2" borderId="18" xfId="0" applyFont="1" applyFill="1" applyBorder="1" applyAlignment="1" applyProtection="1">
      <alignment horizontal="left" vertical="center"/>
      <protection hidden="1"/>
    </xf>
    <xf numFmtId="0" fontId="66" fillId="0" borderId="0" xfId="0" applyFont="1" applyAlignment="1" applyProtection="1">
      <alignment textRotation="90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1" fillId="0" borderId="19" xfId="0" applyFont="1" applyBorder="1" applyProtection="1">
      <protection hidden="1"/>
    </xf>
    <xf numFmtId="0" fontId="1" fillId="0" borderId="20" xfId="0" applyFont="1" applyBorder="1" applyProtection="1">
      <protection hidden="1"/>
    </xf>
    <xf numFmtId="0" fontId="4" fillId="0" borderId="20" xfId="0" applyFont="1" applyBorder="1" applyProtection="1">
      <protection hidden="1"/>
    </xf>
    <xf numFmtId="0" fontId="4" fillId="0" borderId="29" xfId="0" applyFont="1" applyBorder="1" applyProtection="1">
      <protection hidden="1"/>
    </xf>
    <xf numFmtId="0" fontId="21" fillId="2" borderId="0" xfId="0" applyFont="1" applyFill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15" fillId="0" borderId="2" xfId="0" applyFont="1" applyBorder="1" applyProtection="1">
      <protection hidden="1"/>
    </xf>
    <xf numFmtId="0" fontId="4" fillId="0" borderId="30" xfId="0" applyFont="1" applyBorder="1" applyProtection="1">
      <protection hidden="1"/>
    </xf>
    <xf numFmtId="0" fontId="1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15" fillId="0" borderId="7" xfId="0" applyFont="1" applyBorder="1" applyProtection="1">
      <protection hidden="1"/>
    </xf>
    <xf numFmtId="0" fontId="1" fillId="0" borderId="7" xfId="0" applyFont="1" applyBorder="1" applyProtection="1">
      <protection hidden="1"/>
    </xf>
    <xf numFmtId="0" fontId="0" fillId="0" borderId="31" xfId="0" applyBorder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/>
      <protection hidden="1"/>
    </xf>
    <xf numFmtId="0" fontId="11" fillId="0" borderId="32" xfId="0" applyFont="1" applyBorder="1" applyProtection="1">
      <protection hidden="1"/>
    </xf>
    <xf numFmtId="0" fontId="5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53" fillId="0" borderId="33" xfId="0" applyFont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74" fillId="0" borderId="40" xfId="0" applyFont="1" applyBorder="1" applyAlignment="1" applyProtection="1">
      <alignment horizontal="center"/>
      <protection hidden="1"/>
    </xf>
    <xf numFmtId="0" fontId="74" fillId="0" borderId="41" xfId="0" applyFont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0" fillId="0" borderId="42" xfId="0" applyBorder="1" applyProtection="1">
      <protection hidden="1"/>
    </xf>
    <xf numFmtId="0" fontId="36" fillId="0" borderId="12" xfId="0" applyFont="1" applyBorder="1" applyProtection="1">
      <protection hidden="1"/>
    </xf>
    <xf numFmtId="0" fontId="36" fillId="0" borderId="13" xfId="0" applyFont="1" applyBorder="1" applyAlignment="1" applyProtection="1">
      <alignment horizontal="center"/>
      <protection hidden="1"/>
    </xf>
    <xf numFmtId="0" fontId="36" fillId="0" borderId="14" xfId="0" applyFont="1" applyBorder="1" applyAlignment="1" applyProtection="1">
      <alignment horizontal="center"/>
      <protection hidden="1"/>
    </xf>
    <xf numFmtId="0" fontId="36" fillId="0" borderId="12" xfId="0" applyFont="1" applyBorder="1" applyAlignment="1" applyProtection="1">
      <alignment horizontal="center"/>
      <protection hidden="1"/>
    </xf>
    <xf numFmtId="0" fontId="49" fillId="0" borderId="13" xfId="0" applyFont="1" applyBorder="1" applyAlignment="1" applyProtection="1">
      <alignment horizontal="center"/>
      <protection hidden="1"/>
    </xf>
    <xf numFmtId="0" fontId="36" fillId="0" borderId="0" xfId="0" applyFont="1" applyProtection="1">
      <protection hidden="1"/>
    </xf>
    <xf numFmtId="0" fontId="0" fillId="0" borderId="13" xfId="0" applyBorder="1" applyProtection="1">
      <protection hidden="1"/>
    </xf>
    <xf numFmtId="0" fontId="0" fillId="0" borderId="44" xfId="0" applyBorder="1" applyProtection="1">
      <protection hidden="1"/>
    </xf>
    <xf numFmtId="0" fontId="0" fillId="0" borderId="35" xfId="0" applyBorder="1" applyProtection="1">
      <protection hidden="1"/>
    </xf>
    <xf numFmtId="0" fontId="0" fillId="0" borderId="33" xfId="0" applyBorder="1" applyAlignment="1" applyProtection="1">
      <alignment horizontal="center"/>
      <protection hidden="1"/>
    </xf>
    <xf numFmtId="0" fontId="4" fillId="0" borderId="33" xfId="0" applyFont="1" applyBorder="1" applyAlignment="1" applyProtection="1">
      <alignment horizontal="center"/>
      <protection hidden="1"/>
    </xf>
    <xf numFmtId="0" fontId="0" fillId="0" borderId="45" xfId="0" applyBorder="1" applyProtection="1">
      <protection hidden="1"/>
    </xf>
    <xf numFmtId="0" fontId="0" fillId="0" borderId="46" xfId="0" applyBorder="1" applyProtection="1"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14" fillId="0" borderId="47" xfId="0" applyFont="1" applyBorder="1" applyAlignment="1" applyProtection="1">
      <alignment horizontal="center"/>
      <protection hidden="1"/>
    </xf>
    <xf numFmtId="0" fontId="14" fillId="0" borderId="33" xfId="0" applyFont="1" applyBorder="1" applyAlignment="1" applyProtection="1">
      <alignment horizontal="center"/>
      <protection hidden="1"/>
    </xf>
    <xf numFmtId="0" fontId="19" fillId="0" borderId="42" xfId="1" applyBorder="1" applyAlignment="1" applyProtection="1">
      <alignment horizontal="left" wrapText="1"/>
      <protection hidden="1"/>
    </xf>
    <xf numFmtId="0" fontId="35" fillId="0" borderId="13" xfId="0" applyFont="1" applyBorder="1" applyAlignment="1" applyProtection="1">
      <alignment horizontal="center"/>
      <protection hidden="1"/>
    </xf>
    <xf numFmtId="0" fontId="35" fillId="0" borderId="14" xfId="0" applyFont="1" applyBorder="1" applyAlignment="1" applyProtection="1">
      <alignment horizontal="center"/>
      <protection hidden="1"/>
    </xf>
    <xf numFmtId="0" fontId="35" fillId="0" borderId="33" xfId="0" applyFont="1" applyBorder="1" applyAlignment="1" applyProtection="1">
      <alignment horizontal="center"/>
      <protection hidden="1"/>
    </xf>
    <xf numFmtId="0" fontId="4" fillId="0" borderId="25" xfId="0" applyFont="1" applyBorder="1" applyAlignment="1" applyProtection="1">
      <alignment horizontal="center"/>
      <protection hidden="1"/>
    </xf>
    <xf numFmtId="0" fontId="14" fillId="0" borderId="46" xfId="0" applyFont="1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left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14" fillId="0" borderId="12" xfId="0" applyFont="1" applyBorder="1" applyAlignment="1" applyProtection="1">
      <alignment horizontal="center"/>
      <protection hidden="1"/>
    </xf>
    <xf numFmtId="0" fontId="19" fillId="0" borderId="44" xfId="1" applyBorder="1" applyAlignment="1" applyProtection="1">
      <alignment horizontal="left" wrapText="1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14" fillId="0" borderId="35" xfId="0" applyFont="1" applyBorder="1" applyAlignment="1" applyProtection="1">
      <alignment horizontal="center"/>
      <protection hidden="1"/>
    </xf>
    <xf numFmtId="0" fontId="19" fillId="0" borderId="45" xfId="1" applyBorder="1" applyAlignment="1" applyProtection="1">
      <alignment horizontal="left" wrapText="1"/>
      <protection hidden="1"/>
    </xf>
    <xf numFmtId="0" fontId="4" fillId="0" borderId="42" xfId="1" applyFont="1" applyBorder="1" applyAlignment="1" applyProtection="1">
      <alignment horizontal="left" wrapText="1"/>
      <protection hidden="1"/>
    </xf>
    <xf numFmtId="0" fontId="4" fillId="0" borderId="48" xfId="1" applyFont="1" applyBorder="1" applyAlignment="1" applyProtection="1">
      <alignment horizontal="left" wrapText="1"/>
      <protection hidden="1"/>
    </xf>
    <xf numFmtId="0" fontId="0" fillId="0" borderId="17" xfId="0" applyBorder="1" applyProtection="1"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35" fillId="0" borderId="23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14" fillId="0" borderId="23" xfId="0" applyFont="1" applyBorder="1" applyAlignment="1" applyProtection="1">
      <alignment horizontal="center"/>
      <protection hidden="1"/>
    </xf>
    <xf numFmtId="0" fontId="4" fillId="0" borderId="0" xfId="1" applyFont="1" applyAlignment="1" applyProtection="1">
      <alignment horizontal="left" wrapText="1"/>
      <protection hidden="1"/>
    </xf>
    <xf numFmtId="0" fontId="35" fillId="0" borderId="0" xfId="0" applyFont="1" applyAlignment="1" applyProtection="1">
      <alignment horizontal="center"/>
      <protection hidden="1"/>
    </xf>
    <xf numFmtId="0" fontId="19" fillId="0" borderId="0" xfId="1" applyAlignment="1" applyProtection="1">
      <alignment horizontal="center" wrapText="1"/>
      <protection hidden="1"/>
    </xf>
    <xf numFmtId="0" fontId="4" fillId="0" borderId="49" xfId="0" applyFont="1" applyBorder="1" applyAlignment="1" applyProtection="1">
      <alignment vertical="center"/>
      <protection hidden="1"/>
    </xf>
    <xf numFmtId="0" fontId="4" fillId="0" borderId="50" xfId="0" applyFont="1" applyBorder="1" applyProtection="1">
      <protection hidden="1"/>
    </xf>
    <xf numFmtId="0" fontId="4" fillId="0" borderId="51" xfId="0" applyFont="1" applyBorder="1" applyProtection="1">
      <protection hidden="1"/>
    </xf>
    <xf numFmtId="0" fontId="0" fillId="0" borderId="45" xfId="0" applyBorder="1" applyAlignment="1" applyProtection="1">
      <alignment horizontal="center"/>
      <protection hidden="1"/>
    </xf>
    <xf numFmtId="0" fontId="1" fillId="0" borderId="47" xfId="0" applyFont="1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14" fillId="0" borderId="20" xfId="0" applyFont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53" fillId="0" borderId="42" xfId="0" applyFont="1" applyBorder="1" applyProtection="1">
      <protection hidden="1"/>
    </xf>
    <xf numFmtId="0" fontId="0" fillId="0" borderId="4" xfId="0" applyBorder="1" applyAlignment="1" applyProtection="1">
      <alignment horizontal="center"/>
      <protection hidden="1"/>
    </xf>
    <xf numFmtId="0" fontId="14" fillId="0" borderId="37" xfId="0" applyFont="1" applyBorder="1" applyAlignment="1" applyProtection="1">
      <alignment horizontal="left"/>
      <protection hidden="1"/>
    </xf>
    <xf numFmtId="0" fontId="52" fillId="0" borderId="42" xfId="0" applyFont="1" applyBorder="1" applyProtection="1">
      <protection hidden="1"/>
    </xf>
    <xf numFmtId="0" fontId="4" fillId="0" borderId="37" xfId="0" applyFont="1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left"/>
      <protection hidden="1"/>
    </xf>
    <xf numFmtId="0" fontId="0" fillId="0" borderId="37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53" xfId="0" applyBorder="1" applyAlignment="1" applyProtection="1">
      <alignment horizontal="center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35" fillId="0" borderId="42" xfId="0" applyFont="1" applyBorder="1" applyProtection="1">
      <protection hidden="1"/>
    </xf>
    <xf numFmtId="0" fontId="35" fillId="0" borderId="11" xfId="0" applyFont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42" xfId="0" applyBorder="1" applyAlignment="1" applyProtection="1">
      <alignment wrapText="1"/>
      <protection hidden="1"/>
    </xf>
    <xf numFmtId="0" fontId="0" fillId="0" borderId="48" xfId="0" applyBorder="1" applyAlignment="1" applyProtection="1">
      <alignment wrapText="1"/>
      <protection hidden="1"/>
    </xf>
    <xf numFmtId="0" fontId="0" fillId="0" borderId="54" xfId="0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14" fillId="0" borderId="7" xfId="0" applyFont="1" applyBorder="1" applyAlignment="1" applyProtection="1">
      <alignment horizontal="center"/>
      <protection hidden="1"/>
    </xf>
    <xf numFmtId="0" fontId="13" fillId="0" borderId="7" xfId="0" applyFont="1" applyBorder="1" applyProtection="1">
      <protection hidden="1"/>
    </xf>
    <xf numFmtId="0" fontId="0" fillId="0" borderId="7" xfId="0" applyBorder="1" applyProtection="1">
      <protection hidden="1"/>
    </xf>
    <xf numFmtId="0" fontId="14" fillId="0" borderId="7" xfId="0" applyFont="1" applyBorder="1" applyProtection="1">
      <protection hidden="1"/>
    </xf>
    <xf numFmtId="0" fontId="28" fillId="0" borderId="9" xfId="0" applyFont="1" applyBorder="1" applyProtection="1">
      <protection hidden="1"/>
    </xf>
    <xf numFmtId="0" fontId="4" fillId="0" borderId="9" xfId="0" applyFont="1" applyBorder="1" applyProtection="1">
      <protection hidden="1"/>
    </xf>
    <xf numFmtId="0" fontId="2" fillId="0" borderId="9" xfId="0" applyFont="1" applyBorder="1" applyAlignment="1" applyProtection="1">
      <alignment horizontal="left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7" fillId="0" borderId="21" xfId="0" applyFont="1" applyBorder="1" applyAlignment="1" applyProtection="1">
      <alignment horizontal="left"/>
      <protection hidden="1"/>
    </xf>
    <xf numFmtId="0" fontId="37" fillId="0" borderId="0" xfId="0" applyFont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38" fillId="0" borderId="0" xfId="0" applyFont="1" applyProtection="1">
      <protection hidden="1"/>
    </xf>
    <xf numFmtId="0" fontId="27" fillId="0" borderId="0" xfId="0" applyFont="1" applyAlignment="1" applyProtection="1">
      <alignment horizontal="left"/>
      <protection hidden="1"/>
    </xf>
    <xf numFmtId="0" fontId="23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3" fillId="0" borderId="55" xfId="0" applyFont="1" applyBorder="1" applyAlignment="1" applyProtection="1">
      <alignment horizontal="left" wrapText="1"/>
      <protection hidden="1"/>
    </xf>
    <xf numFmtId="0" fontId="32" fillId="0" borderId="8" xfId="0" applyFont="1" applyBorder="1" applyProtection="1">
      <protection hidden="1"/>
    </xf>
    <xf numFmtId="0" fontId="13" fillId="0" borderId="9" xfId="0" applyFont="1" applyBorder="1" applyProtection="1">
      <protection hidden="1"/>
    </xf>
    <xf numFmtId="0" fontId="15" fillId="0" borderId="56" xfId="0" applyFont="1" applyBorder="1" applyAlignment="1" applyProtection="1">
      <alignment horizontal="center" wrapText="1"/>
      <protection hidden="1"/>
    </xf>
    <xf numFmtId="0" fontId="15" fillId="0" borderId="10" xfId="0" applyFont="1" applyBorder="1" applyProtection="1">
      <protection hidden="1"/>
    </xf>
    <xf numFmtId="0" fontId="11" fillId="0" borderId="13" xfId="0" applyFont="1" applyBorder="1" applyAlignment="1" applyProtection="1">
      <alignment horizontal="center" textRotation="90" wrapText="1"/>
      <protection hidden="1"/>
    </xf>
    <xf numFmtId="0" fontId="46" fillId="0" borderId="13" xfId="0" applyFont="1" applyBorder="1" applyAlignment="1" applyProtection="1">
      <alignment horizontal="center" textRotation="90" wrapText="1"/>
      <protection hidden="1"/>
    </xf>
    <xf numFmtId="0" fontId="11" fillId="2" borderId="57" xfId="0" applyFont="1" applyFill="1" applyBorder="1" applyAlignment="1" applyProtection="1">
      <alignment horizontal="center" textRotation="90"/>
      <protection hidden="1"/>
    </xf>
    <xf numFmtId="0" fontId="11" fillId="0" borderId="57" xfId="0" applyFont="1" applyBorder="1" applyAlignment="1" applyProtection="1">
      <alignment horizontal="center"/>
      <protection hidden="1"/>
    </xf>
    <xf numFmtId="0" fontId="15" fillId="0" borderId="5" xfId="0" applyFont="1" applyBorder="1" applyProtection="1">
      <protection hidden="1"/>
    </xf>
    <xf numFmtId="0" fontId="11" fillId="0" borderId="36" xfId="0" applyFont="1" applyBorder="1" applyProtection="1">
      <protection hidden="1"/>
    </xf>
    <xf numFmtId="0" fontId="0" fillId="0" borderId="36" xfId="0" applyBorder="1" applyProtection="1">
      <protection hidden="1"/>
    </xf>
    <xf numFmtId="0" fontId="11" fillId="0" borderId="37" xfId="0" applyFont="1" applyBorder="1" applyAlignment="1" applyProtection="1">
      <alignment horizontal="center" textRotation="90"/>
      <protection hidden="1"/>
    </xf>
    <xf numFmtId="0" fontId="0" fillId="0" borderId="58" xfId="0" applyBorder="1" applyProtection="1">
      <protection hidden="1"/>
    </xf>
    <xf numFmtId="0" fontId="11" fillId="0" borderId="57" xfId="0" applyFont="1" applyBorder="1" applyProtection="1">
      <protection hidden="1"/>
    </xf>
    <xf numFmtId="0" fontId="46" fillId="0" borderId="10" xfId="0" applyFont="1" applyBorder="1" applyProtection="1">
      <protection hidden="1"/>
    </xf>
    <xf numFmtId="0" fontId="11" fillId="0" borderId="13" xfId="0" applyFont="1" applyBorder="1" applyProtection="1">
      <protection hidden="1"/>
    </xf>
    <xf numFmtId="0" fontId="4" fillId="0" borderId="11" xfId="0" applyFont="1" applyBorder="1" applyProtection="1">
      <protection hidden="1"/>
    </xf>
    <xf numFmtId="0" fontId="11" fillId="2" borderId="57" xfId="0" applyFont="1" applyFill="1" applyBorder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0" fontId="46" fillId="2" borderId="57" xfId="0" applyFont="1" applyFill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right"/>
      <protection hidden="1"/>
    </xf>
    <xf numFmtId="0" fontId="11" fillId="0" borderId="13" xfId="0" applyFont="1" applyBorder="1" applyAlignment="1" applyProtection="1">
      <alignment horizontal="right"/>
      <protection hidden="1"/>
    </xf>
    <xf numFmtId="0" fontId="11" fillId="0" borderId="5" xfId="0" applyFont="1" applyBorder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0" fontId="11" fillId="0" borderId="21" xfId="0" applyFont="1" applyBorder="1" applyAlignment="1" applyProtection="1">
      <alignment horizontal="right"/>
      <protection hidden="1"/>
    </xf>
    <xf numFmtId="0" fontId="11" fillId="0" borderId="33" xfId="0" applyFont="1" applyBorder="1" applyAlignment="1" applyProtection="1">
      <alignment horizontal="right"/>
      <protection hidden="1"/>
    </xf>
    <xf numFmtId="0" fontId="11" fillId="0" borderId="2" xfId="0" applyFont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right"/>
      <protection hidden="1"/>
    </xf>
    <xf numFmtId="0" fontId="11" fillId="0" borderId="39" xfId="0" applyFont="1" applyBorder="1" applyAlignment="1" applyProtection="1">
      <alignment horizontal="right"/>
      <protection hidden="1"/>
    </xf>
    <xf numFmtId="0" fontId="11" fillId="0" borderId="27" xfId="0" applyFont="1" applyBorder="1" applyProtection="1">
      <protection hidden="1"/>
    </xf>
    <xf numFmtId="0" fontId="11" fillId="0" borderId="23" xfId="0" applyFont="1" applyBorder="1" applyProtection="1">
      <protection hidden="1"/>
    </xf>
    <xf numFmtId="0" fontId="11" fillId="2" borderId="59" xfId="0" applyFont="1" applyFill="1" applyBorder="1" applyAlignment="1" applyProtection="1">
      <alignment horizontal="center"/>
      <protection hidden="1"/>
    </xf>
    <xf numFmtId="0" fontId="11" fillId="0" borderId="59" xfId="0" applyFont="1" applyBorder="1" applyAlignment="1" applyProtection="1">
      <alignment horizontal="center"/>
      <protection hidden="1"/>
    </xf>
    <xf numFmtId="0" fontId="31" fillId="0" borderId="7" xfId="0" applyFont="1" applyBorder="1" applyProtection="1">
      <protection hidden="1"/>
    </xf>
    <xf numFmtId="0" fontId="26" fillId="0" borderId="49" xfId="0" applyFont="1" applyBorder="1" applyProtection="1">
      <protection hidden="1"/>
    </xf>
    <xf numFmtId="0" fontId="0" fillId="0" borderId="50" xfId="0" applyBorder="1" applyProtection="1">
      <protection hidden="1"/>
    </xf>
    <xf numFmtId="0" fontId="17" fillId="0" borderId="7" xfId="0" applyFont="1" applyBorder="1" applyProtection="1">
      <protection hidden="1"/>
    </xf>
    <xf numFmtId="0" fontId="30" fillId="0" borderId="0" xfId="0" applyFont="1" applyProtection="1">
      <protection hidden="1"/>
    </xf>
    <xf numFmtId="0" fontId="25" fillId="0" borderId="49" xfId="0" applyFont="1" applyBorder="1" applyProtection="1">
      <protection hidden="1"/>
    </xf>
    <xf numFmtId="0" fontId="13" fillId="0" borderId="50" xfId="0" applyFont="1" applyBorder="1" applyProtection="1"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11" fillId="0" borderId="24" xfId="0" applyFont="1" applyBorder="1" applyProtection="1">
      <protection hidden="1"/>
    </xf>
    <xf numFmtId="0" fontId="11" fillId="0" borderId="9" xfId="0" applyFont="1" applyBorder="1" applyAlignment="1" applyProtection="1">
      <alignment horizontal="center"/>
      <protection hidden="1"/>
    </xf>
    <xf numFmtId="0" fontId="11" fillId="2" borderId="2" xfId="0" applyFont="1" applyFill="1" applyBorder="1" applyAlignment="1" applyProtection="1">
      <alignment horizontal="center"/>
      <protection hidden="1"/>
    </xf>
    <xf numFmtId="0" fontId="11" fillId="2" borderId="10" xfId="0" applyFont="1" applyFill="1" applyBorder="1" applyAlignment="1" applyProtection="1">
      <alignment horizontal="center" vertical="center"/>
      <protection hidden="1"/>
    </xf>
    <xf numFmtId="0" fontId="11" fillId="2" borderId="60" xfId="0" applyFont="1" applyFill="1" applyBorder="1" applyAlignment="1" applyProtection="1">
      <alignment horizontal="center" vertical="center"/>
      <protection hidden="1"/>
    </xf>
    <xf numFmtId="0" fontId="11" fillId="4" borderId="2" xfId="0" applyFont="1" applyFill="1" applyBorder="1" applyProtection="1">
      <protection hidden="1"/>
    </xf>
    <xf numFmtId="0" fontId="4" fillId="4" borderId="2" xfId="0" applyFont="1" applyFill="1" applyBorder="1" applyProtection="1">
      <protection hidden="1"/>
    </xf>
    <xf numFmtId="0" fontId="11" fillId="4" borderId="0" xfId="0" applyFont="1" applyFill="1" applyProtection="1">
      <protection hidden="1"/>
    </xf>
    <xf numFmtId="0" fontId="11" fillId="0" borderId="2" xfId="0" applyFont="1" applyBorder="1" applyAlignment="1" applyProtection="1">
      <alignment horizontal="right" indent="1"/>
      <protection hidden="1"/>
    </xf>
    <xf numFmtId="0" fontId="11" fillId="0" borderId="61" xfId="0" applyFont="1" applyBorder="1" applyAlignment="1" applyProtection="1">
      <alignment horizontal="right" indent="1"/>
      <protection hidden="1"/>
    </xf>
    <xf numFmtId="0" fontId="57" fillId="0" borderId="11" xfId="0" applyFont="1" applyBorder="1" applyProtection="1">
      <protection hidden="1"/>
    </xf>
    <xf numFmtId="0" fontId="51" fillId="0" borderId="11" xfId="0" applyFont="1" applyBorder="1" applyAlignment="1" applyProtection="1">
      <alignment horizontal="center" vertical="center"/>
      <protection hidden="1"/>
    </xf>
    <xf numFmtId="0" fontId="57" fillId="0" borderId="2" xfId="0" applyFont="1" applyBorder="1" applyProtection="1">
      <protection hidden="1"/>
    </xf>
    <xf numFmtId="0" fontId="11" fillId="0" borderId="62" xfId="0" applyFont="1" applyBorder="1" applyAlignment="1" applyProtection="1">
      <alignment horizontal="right"/>
      <protection hidden="1"/>
    </xf>
    <xf numFmtId="0" fontId="11" fillId="0" borderId="61" xfId="0" applyFont="1" applyBorder="1" applyAlignment="1" applyProtection="1">
      <alignment horizontal="right"/>
      <protection hidden="1"/>
    </xf>
    <xf numFmtId="0" fontId="43" fillId="0" borderId="2" xfId="0" applyFont="1" applyBorder="1" applyProtection="1">
      <protection hidden="1"/>
    </xf>
    <xf numFmtId="0" fontId="43" fillId="0" borderId="61" xfId="0" applyFont="1" applyBorder="1" applyAlignment="1" applyProtection="1">
      <alignment horizontal="right"/>
      <protection hidden="1"/>
    </xf>
    <xf numFmtId="0" fontId="4" fillId="0" borderId="62" xfId="0" applyFont="1" applyBorder="1" applyProtection="1">
      <protection hidden="1"/>
    </xf>
    <xf numFmtId="0" fontId="26" fillId="0" borderId="27" xfId="0" applyFont="1" applyBorder="1" applyProtection="1">
      <protection hidden="1"/>
    </xf>
    <xf numFmtId="0" fontId="11" fillId="0" borderId="7" xfId="0" applyFont="1" applyBorder="1" applyAlignment="1" applyProtection="1">
      <alignment horizontal="center"/>
      <protection hidden="1"/>
    </xf>
    <xf numFmtId="0" fontId="4" fillId="3" borderId="0" xfId="0" applyFont="1" applyFill="1" applyProtection="1">
      <protection hidden="1"/>
    </xf>
    <xf numFmtId="0" fontId="0" fillId="0" borderId="63" xfId="0" applyBorder="1" applyAlignment="1" applyProtection="1">
      <alignment horizontal="center"/>
      <protection hidden="1"/>
    </xf>
    <xf numFmtId="0" fontId="0" fillId="0" borderId="60" xfId="0" applyBorder="1" applyAlignment="1" applyProtection="1">
      <alignment horizontal="center"/>
      <protection hidden="1"/>
    </xf>
    <xf numFmtId="0" fontId="27" fillId="0" borderId="7" xfId="0" applyFont="1" applyBorder="1" applyProtection="1">
      <protection hidden="1"/>
    </xf>
    <xf numFmtId="0" fontId="50" fillId="0" borderId="0" xfId="0" applyFont="1" applyProtection="1">
      <protection hidden="1"/>
    </xf>
    <xf numFmtId="0" fontId="43" fillId="0" borderId="0" xfId="0" applyFont="1" applyProtection="1">
      <protection hidden="1"/>
    </xf>
    <xf numFmtId="0" fontId="43" fillId="0" borderId="0" xfId="0" applyFont="1" applyAlignment="1" applyProtection="1">
      <alignment horizontal="center"/>
      <protection hidden="1"/>
    </xf>
    <xf numFmtId="0" fontId="43" fillId="3" borderId="0" xfId="0" applyFont="1" applyFill="1" applyProtection="1">
      <protection hidden="1"/>
    </xf>
    <xf numFmtId="0" fontId="43" fillId="3" borderId="0" xfId="0" applyFont="1" applyFill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  <xf numFmtId="0" fontId="27" fillId="3" borderId="0" xfId="0" applyFont="1" applyFill="1" applyProtection="1">
      <protection hidden="1"/>
    </xf>
    <xf numFmtId="0" fontId="27" fillId="3" borderId="0" xfId="0" applyFont="1" applyFill="1" applyAlignment="1" applyProtection="1">
      <alignment horizontal="center"/>
      <protection hidden="1"/>
    </xf>
    <xf numFmtId="0" fontId="62" fillId="0" borderId="0" xfId="0" applyFont="1" applyProtection="1">
      <protection hidden="1"/>
    </xf>
    <xf numFmtId="0" fontId="35" fillId="0" borderId="0" xfId="0" applyFont="1" applyProtection="1">
      <protection hidden="1"/>
    </xf>
    <xf numFmtId="0" fontId="4" fillId="0" borderId="19" xfId="0" applyFont="1" applyBorder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27" fillId="0" borderId="4" xfId="0" applyFont="1" applyBorder="1" applyAlignment="1" applyProtection="1">
      <alignment horizontal="center"/>
      <protection hidden="1"/>
    </xf>
    <xf numFmtId="0" fontId="15" fillId="0" borderId="50" xfId="0" applyFont="1" applyBorder="1" applyProtection="1">
      <protection hidden="1"/>
    </xf>
    <xf numFmtId="0" fontId="15" fillId="0" borderId="50" xfId="0" applyFont="1" applyBorder="1" applyAlignment="1" applyProtection="1">
      <alignment horizontal="center"/>
      <protection hidden="1"/>
    </xf>
    <xf numFmtId="0" fontId="15" fillId="3" borderId="50" xfId="0" applyFont="1" applyFill="1" applyBorder="1" applyProtection="1">
      <protection hidden="1"/>
    </xf>
    <xf numFmtId="0" fontId="3" fillId="0" borderId="50" xfId="0" applyFont="1" applyBorder="1" applyAlignment="1" applyProtection="1">
      <alignment vertical="center" wrapText="1"/>
      <protection hidden="1"/>
    </xf>
    <xf numFmtId="0" fontId="5" fillId="0" borderId="50" xfId="0" applyFont="1" applyBorder="1" applyAlignment="1" applyProtection="1">
      <alignment vertical="center" wrapText="1"/>
      <protection hidden="1"/>
    </xf>
    <xf numFmtId="0" fontId="5" fillId="0" borderId="50" xfId="0" applyFont="1" applyBorder="1" applyAlignment="1" applyProtection="1">
      <alignment textRotation="90" wrapText="1"/>
      <protection hidden="1"/>
    </xf>
    <xf numFmtId="0" fontId="4" fillId="0" borderId="64" xfId="0" applyFont="1" applyBorder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 textRotation="90" wrapText="1"/>
      <protection hidden="1"/>
    </xf>
    <xf numFmtId="0" fontId="15" fillId="0" borderId="66" xfId="0" applyFont="1" applyBorder="1" applyAlignment="1" applyProtection="1">
      <alignment horizontal="center" wrapText="1"/>
      <protection hidden="1"/>
    </xf>
    <xf numFmtId="0" fontId="14" fillId="0" borderId="67" xfId="0" applyFont="1" applyBorder="1" applyAlignment="1" applyProtection="1">
      <alignment horizontal="center" wrapText="1"/>
      <protection hidden="1"/>
    </xf>
    <xf numFmtId="0" fontId="11" fillId="0" borderId="9" xfId="0" applyFont="1" applyBorder="1" applyAlignment="1" applyProtection="1">
      <alignment vertical="center"/>
      <protection hidden="1"/>
    </xf>
    <xf numFmtId="0" fontId="16" fillId="2" borderId="9" xfId="0" applyFont="1" applyFill="1" applyBorder="1" applyProtection="1">
      <protection hidden="1"/>
    </xf>
    <xf numFmtId="0" fontId="4" fillId="0" borderId="68" xfId="0" applyFont="1" applyBorder="1" applyAlignment="1" applyProtection="1">
      <alignment horizontal="center"/>
      <protection hidden="1"/>
    </xf>
    <xf numFmtId="0" fontId="0" fillId="0" borderId="20" xfId="0" applyBorder="1" applyProtection="1">
      <protection hidden="1"/>
    </xf>
    <xf numFmtId="0" fontId="11" fillId="3" borderId="69" xfId="0" applyFont="1" applyFill="1" applyBorder="1" applyAlignment="1" applyProtection="1">
      <alignment horizontal="center"/>
      <protection hidden="1"/>
    </xf>
    <xf numFmtId="0" fontId="11" fillId="3" borderId="70" xfId="0" applyFont="1" applyFill="1" applyBorder="1" applyAlignment="1" applyProtection="1">
      <alignment horizontal="center"/>
      <protection hidden="1"/>
    </xf>
    <xf numFmtId="0" fontId="11" fillId="3" borderId="57" xfId="0" applyFont="1" applyFill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vertical="center"/>
      <protection hidden="1"/>
    </xf>
    <xf numFmtId="0" fontId="16" fillId="2" borderId="11" xfId="0" applyFont="1" applyFill="1" applyBorder="1" applyProtection="1">
      <protection hidden="1"/>
    </xf>
    <xf numFmtId="0" fontId="4" fillId="0" borderId="71" xfId="0" applyFont="1" applyBorder="1" applyAlignment="1" applyProtection="1">
      <alignment horizontal="center"/>
      <protection hidden="1"/>
    </xf>
    <xf numFmtId="0" fontId="0" fillId="0" borderId="37" xfId="0" applyBorder="1" applyProtection="1">
      <protection hidden="1"/>
    </xf>
    <xf numFmtId="0" fontId="11" fillId="0" borderId="2" xfId="0" applyFont="1" applyBorder="1" applyAlignment="1" applyProtection="1">
      <alignment vertical="center"/>
      <protection hidden="1"/>
    </xf>
    <xf numFmtId="0" fontId="4" fillId="0" borderId="72" xfId="0" applyFont="1" applyBorder="1" applyAlignment="1" applyProtection="1">
      <alignment horizontal="center"/>
      <protection hidden="1"/>
    </xf>
    <xf numFmtId="0" fontId="26" fillId="0" borderId="49" xfId="0" applyFont="1" applyBorder="1" applyAlignment="1" applyProtection="1">
      <alignment vertical="top"/>
      <protection hidden="1"/>
    </xf>
    <xf numFmtId="0" fontId="26" fillId="0" borderId="50" xfId="0" applyFont="1" applyBorder="1" applyAlignment="1" applyProtection="1">
      <alignment vertical="top"/>
      <protection hidden="1"/>
    </xf>
    <xf numFmtId="0" fontId="15" fillId="0" borderId="50" xfId="0" applyFont="1" applyBorder="1" applyAlignment="1" applyProtection="1">
      <alignment vertical="center"/>
      <protection hidden="1"/>
    </xf>
    <xf numFmtId="0" fontId="15" fillId="2" borderId="50" xfId="0" applyFont="1" applyFill="1" applyBorder="1" applyProtection="1">
      <protection hidden="1"/>
    </xf>
    <xf numFmtId="0" fontId="15" fillId="3" borderId="67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2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15" fillId="3" borderId="0" xfId="0" applyFont="1" applyFill="1" applyProtection="1">
      <protection hidden="1"/>
    </xf>
    <xf numFmtId="0" fontId="6" fillId="0" borderId="50" xfId="0" applyFont="1" applyBorder="1" applyAlignment="1" applyProtection="1">
      <alignment vertical="center"/>
      <protection hidden="1"/>
    </xf>
    <xf numFmtId="0" fontId="5" fillId="0" borderId="50" xfId="0" applyFont="1" applyBorder="1" applyAlignment="1" applyProtection="1">
      <alignment vertical="center"/>
      <protection hidden="1"/>
    </xf>
    <xf numFmtId="0" fontId="4" fillId="0" borderId="73" xfId="0" applyFont="1" applyBorder="1" applyAlignment="1" applyProtection="1">
      <alignment horizontal="center" textRotation="90" wrapText="1"/>
      <protection hidden="1"/>
    </xf>
    <xf numFmtId="0" fontId="15" fillId="0" borderId="50" xfId="0" applyFont="1" applyBorder="1" applyAlignment="1" applyProtection="1">
      <alignment horizontal="center" wrapText="1"/>
      <protection hidden="1"/>
    </xf>
    <xf numFmtId="0" fontId="0" fillId="3" borderId="74" xfId="0" applyFill="1" applyBorder="1" applyAlignment="1" applyProtection="1">
      <alignment horizontal="center"/>
      <protection hidden="1"/>
    </xf>
    <xf numFmtId="0" fontId="0" fillId="3" borderId="75" xfId="0" applyFill="1" applyBorder="1" applyAlignment="1" applyProtection="1">
      <alignment horizontal="center"/>
      <protection hidden="1"/>
    </xf>
    <xf numFmtId="0" fontId="11" fillId="0" borderId="21" xfId="0" applyFont="1" applyBorder="1" applyAlignment="1" applyProtection="1">
      <alignment vertical="center"/>
      <protection hidden="1"/>
    </xf>
    <xf numFmtId="0" fontId="11" fillId="0" borderId="2" xfId="0" applyFont="1" applyBorder="1" applyAlignment="1" applyProtection="1">
      <alignment vertical="center" wrapText="1"/>
      <protection hidden="1"/>
    </xf>
    <xf numFmtId="0" fontId="11" fillId="0" borderId="0" xfId="0" applyFont="1" applyAlignment="1" applyProtection="1">
      <alignment vertical="center"/>
      <protection hidden="1"/>
    </xf>
    <xf numFmtId="0" fontId="16" fillId="2" borderId="0" xfId="0" applyFont="1" applyFill="1" applyProtection="1"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11" fillId="3" borderId="0" xfId="0" applyFont="1" applyFill="1" applyProtection="1">
      <protection hidden="1"/>
    </xf>
    <xf numFmtId="0" fontId="4" fillId="3" borderId="75" xfId="0" applyFont="1" applyFill="1" applyBorder="1" applyAlignment="1" applyProtection="1">
      <alignment horizontal="center"/>
      <protection hidden="1"/>
    </xf>
    <xf numFmtId="0" fontId="26" fillId="0" borderId="0" xfId="0" applyFont="1" applyAlignment="1" applyProtection="1">
      <alignment vertical="top"/>
      <protection hidden="1"/>
    </xf>
    <xf numFmtId="0" fontId="12" fillId="3" borderId="0" xfId="0" applyFont="1" applyFill="1" applyAlignment="1" applyProtection="1">
      <alignment horizontal="center"/>
      <protection hidden="1"/>
    </xf>
    <xf numFmtId="0" fontId="15" fillId="3" borderId="0" xfId="0" applyFont="1" applyFill="1" applyAlignment="1" applyProtection="1">
      <alignment horizontal="center" vertical="center"/>
      <protection hidden="1"/>
    </xf>
    <xf numFmtId="0" fontId="5" fillId="0" borderId="76" xfId="0" applyFont="1" applyBorder="1" applyAlignment="1" applyProtection="1">
      <alignment horizontal="center" textRotation="90" wrapText="1"/>
      <protection hidden="1"/>
    </xf>
    <xf numFmtId="0" fontId="4" fillId="0" borderId="77" xfId="0" applyFont="1" applyBorder="1" applyAlignment="1" applyProtection="1">
      <alignment horizontal="center"/>
      <protection hidden="1"/>
    </xf>
    <xf numFmtId="0" fontId="15" fillId="0" borderId="52" xfId="0" applyFont="1" applyBorder="1" applyProtection="1">
      <protection hidden="1"/>
    </xf>
    <xf numFmtId="0" fontId="11" fillId="3" borderId="70" xfId="0" applyFont="1" applyFill="1" applyBorder="1" applyProtection="1">
      <protection hidden="1"/>
    </xf>
    <xf numFmtId="0" fontId="11" fillId="3" borderId="57" xfId="0" applyFont="1" applyFill="1" applyBorder="1" applyProtection="1">
      <protection hidden="1"/>
    </xf>
    <xf numFmtId="0" fontId="0" fillId="3" borderId="78" xfId="0" applyFill="1" applyBorder="1" applyAlignment="1" applyProtection="1">
      <alignment horizontal="center"/>
      <protection hidden="1"/>
    </xf>
    <xf numFmtId="0" fontId="17" fillId="0" borderId="7" xfId="0" applyFont="1" applyBorder="1" applyAlignment="1" applyProtection="1">
      <alignment horizontal="left"/>
      <protection hidden="1"/>
    </xf>
    <xf numFmtId="0" fontId="13" fillId="0" borderId="7" xfId="0" applyFont="1" applyBorder="1" applyAlignment="1" applyProtection="1">
      <alignment horizontal="center"/>
      <protection hidden="1"/>
    </xf>
    <xf numFmtId="0" fontId="66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67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68" fillId="0" borderId="0" xfId="0" applyFont="1" applyProtection="1">
      <protection hidden="1"/>
    </xf>
    <xf numFmtId="0" fontId="14" fillId="0" borderId="0" xfId="0" applyFont="1" applyAlignment="1" applyProtection="1">
      <alignment horizontal="centerContinuous"/>
      <protection hidden="1"/>
    </xf>
    <xf numFmtId="0" fontId="69" fillId="0" borderId="0" xfId="0" applyFont="1" applyAlignment="1" applyProtection="1">
      <alignment horizontal="right" textRotation="88"/>
      <protection hidden="1"/>
    </xf>
    <xf numFmtId="0" fontId="0" fillId="3" borderId="24" xfId="0" applyFill="1" applyBorder="1" applyAlignment="1" applyProtection="1">
      <alignment horizontal="center"/>
      <protection hidden="1"/>
    </xf>
    <xf numFmtId="0" fontId="70" fillId="0" borderId="0" xfId="0" applyFont="1" applyAlignment="1" applyProtection="1">
      <alignment horizontal="center"/>
      <protection hidden="1"/>
    </xf>
    <xf numFmtId="0" fontId="70" fillId="0" borderId="0" xfId="0" applyFont="1" applyProtection="1">
      <protection hidden="1"/>
    </xf>
    <xf numFmtId="0" fontId="11" fillId="3" borderId="79" xfId="0" applyFont="1" applyFill="1" applyBorder="1" applyAlignment="1" applyProtection="1">
      <alignment horizontal="center"/>
      <protection hidden="1"/>
    </xf>
    <xf numFmtId="0" fontId="11" fillId="0" borderId="41" xfId="0" applyFont="1" applyBorder="1" applyProtection="1">
      <protection hidden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16" fillId="0" borderId="2" xfId="0" applyFont="1" applyBorder="1" applyProtection="1">
      <protection hidden="1"/>
    </xf>
    <xf numFmtId="0" fontId="16" fillId="0" borderId="41" xfId="0" applyFont="1" applyBorder="1" applyProtection="1"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center" vertical="center" wrapText="1"/>
      <protection hidden="1"/>
    </xf>
    <xf numFmtId="0" fontId="16" fillId="0" borderId="80" xfId="0" applyFont="1" applyBorder="1" applyAlignment="1" applyProtection="1">
      <alignment horizontal="center"/>
      <protection hidden="1"/>
    </xf>
    <xf numFmtId="0" fontId="16" fillId="0" borderId="81" xfId="0" applyFont="1" applyBorder="1" applyAlignment="1" applyProtection="1">
      <alignment horizontal="center"/>
      <protection hidden="1"/>
    </xf>
    <xf numFmtId="0" fontId="16" fillId="0" borderId="2" xfId="0" applyFont="1" applyBorder="1" applyAlignment="1" applyProtection="1">
      <alignment horizontal="center"/>
      <protection hidden="1"/>
    </xf>
    <xf numFmtId="0" fontId="16" fillId="0" borderId="41" xfId="0" applyFont="1" applyBorder="1" applyAlignment="1" applyProtection="1">
      <alignment horizontal="center"/>
      <protection hidden="1"/>
    </xf>
    <xf numFmtId="0" fontId="16" fillId="0" borderId="7" xfId="0" applyFont="1" applyBorder="1" applyProtection="1">
      <protection hidden="1"/>
    </xf>
    <xf numFmtId="0" fontId="16" fillId="0" borderId="82" xfId="0" applyFont="1" applyBorder="1" applyProtection="1">
      <protection hidden="1"/>
    </xf>
    <xf numFmtId="0" fontId="4" fillId="2" borderId="50" xfId="0" applyFont="1" applyFill="1" applyBorder="1" applyAlignment="1" applyProtection="1">
      <alignment horizontal="center"/>
      <protection hidden="1"/>
    </xf>
    <xf numFmtId="0" fontId="15" fillId="3" borderId="56" xfId="0" applyFont="1" applyFill="1" applyBorder="1" applyAlignment="1" applyProtection="1">
      <alignment horizontal="center"/>
      <protection hidden="1"/>
    </xf>
    <xf numFmtId="0" fontId="15" fillId="3" borderId="50" xfId="0" applyFont="1" applyFill="1" applyBorder="1" applyAlignment="1" applyProtection="1">
      <alignment horizontal="center"/>
      <protection hidden="1"/>
    </xf>
    <xf numFmtId="0" fontId="71" fillId="0" borderId="0" xfId="0" applyFont="1" applyProtection="1"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15" fillId="2" borderId="50" xfId="0" applyFont="1" applyFill="1" applyBorder="1" applyAlignment="1" applyProtection="1">
      <alignment horizontal="center"/>
      <protection hidden="1"/>
    </xf>
    <xf numFmtId="0" fontId="66" fillId="0" borderId="0" xfId="0" applyFont="1" applyAlignment="1" applyProtection="1">
      <alignment horizontal="center"/>
      <protection hidden="1"/>
    </xf>
    <xf numFmtId="0" fontId="11" fillId="0" borderId="35" xfId="0" applyFont="1" applyBorder="1" applyProtection="1">
      <protection hidden="1"/>
    </xf>
    <xf numFmtId="0" fontId="4" fillId="0" borderId="83" xfId="0" applyFont="1" applyBorder="1" applyAlignment="1" applyProtection="1">
      <alignment horizontal="center"/>
      <protection hidden="1"/>
    </xf>
    <xf numFmtId="0" fontId="15" fillId="2" borderId="7" xfId="0" applyFont="1" applyFill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1" fillId="4" borderId="46" xfId="0" applyFont="1" applyFill="1" applyBorder="1" applyProtection="1">
      <protection locked="0" hidden="1"/>
    </xf>
    <xf numFmtId="0" fontId="16" fillId="4" borderId="80" xfId="0" applyFont="1" applyFill="1" applyBorder="1" applyAlignment="1" applyProtection="1">
      <alignment horizontal="center"/>
      <protection locked="0" hidden="1"/>
    </xf>
    <xf numFmtId="0" fontId="16" fillId="4" borderId="39" xfId="0" applyFont="1" applyFill="1" applyBorder="1" applyAlignment="1" applyProtection="1">
      <alignment horizontal="center"/>
      <protection locked="0" hidden="1"/>
    </xf>
    <xf numFmtId="0" fontId="16" fillId="4" borderId="41" xfId="0" applyFont="1" applyFill="1" applyBorder="1" applyAlignment="1" applyProtection="1">
      <alignment horizontal="center"/>
      <protection locked="0" hidden="1"/>
    </xf>
    <xf numFmtId="0" fontId="16" fillId="4" borderId="13" xfId="0" applyFont="1" applyFill="1" applyBorder="1" applyAlignment="1" applyProtection="1">
      <alignment horizontal="center"/>
      <protection locked="0" hidden="1"/>
    </xf>
    <xf numFmtId="0" fontId="16" fillId="4" borderId="36" xfId="0" applyFont="1" applyFill="1" applyBorder="1" applyAlignment="1" applyProtection="1">
      <alignment horizontal="center"/>
      <protection locked="0" hidden="1"/>
    </xf>
    <xf numFmtId="0" fontId="16" fillId="4" borderId="84" xfId="0" applyFont="1" applyFill="1" applyBorder="1" applyAlignment="1" applyProtection="1">
      <alignment horizontal="center"/>
      <protection locked="0" hidden="1"/>
    </xf>
    <xf numFmtId="0" fontId="16" fillId="4" borderId="18" xfId="0" applyFont="1" applyFill="1" applyBorder="1" applyAlignment="1" applyProtection="1">
      <alignment horizontal="center"/>
      <protection locked="0" hidden="1"/>
    </xf>
    <xf numFmtId="0" fontId="16" fillId="4" borderId="38" xfId="0" applyFont="1" applyFill="1" applyBorder="1" applyAlignment="1" applyProtection="1">
      <alignment horizontal="center"/>
      <protection locked="0" hidden="1"/>
    </xf>
    <xf numFmtId="0" fontId="11" fillId="4" borderId="13" xfId="0" applyFont="1" applyFill="1" applyBorder="1" applyAlignment="1" applyProtection="1">
      <alignment horizontal="center"/>
      <protection locked="0" hidden="1"/>
    </xf>
    <xf numFmtId="0" fontId="16" fillId="4" borderId="85" xfId="0" applyFont="1" applyFill="1" applyBorder="1" applyAlignment="1" applyProtection="1">
      <alignment horizontal="center"/>
      <protection locked="0" hidden="1"/>
    </xf>
    <xf numFmtId="0" fontId="16" fillId="4" borderId="23" xfId="0" applyFont="1" applyFill="1" applyBorder="1" applyAlignment="1" applyProtection="1">
      <alignment horizontal="center"/>
      <protection locked="0" hidden="1"/>
    </xf>
    <xf numFmtId="0" fontId="11" fillId="4" borderId="2" xfId="0" applyFont="1" applyFill="1" applyBorder="1" applyProtection="1">
      <protection locked="0" hidden="1"/>
    </xf>
    <xf numFmtId="0" fontId="11" fillId="4" borderId="2" xfId="0" applyFont="1" applyFill="1" applyBorder="1" applyAlignment="1" applyProtection="1">
      <alignment horizontal="center"/>
      <protection locked="0" hidden="1"/>
    </xf>
    <xf numFmtId="0" fontId="11" fillId="4" borderId="0" xfId="0" applyFont="1" applyFill="1" applyAlignment="1" applyProtection="1">
      <alignment horizontal="center"/>
      <protection locked="0" hidden="1"/>
    </xf>
    <xf numFmtId="0" fontId="11" fillId="4" borderId="79" xfId="0" applyFont="1" applyFill="1" applyBorder="1" applyAlignment="1" applyProtection="1">
      <alignment horizontal="center"/>
      <protection locked="0" hidden="1"/>
    </xf>
    <xf numFmtId="0" fontId="18" fillId="4" borderId="25" xfId="0" applyFont="1" applyFill="1" applyBorder="1" applyAlignment="1" applyProtection="1">
      <alignment horizontal="center"/>
      <protection locked="0" hidden="1"/>
    </xf>
    <xf numFmtId="0" fontId="4" fillId="4" borderId="9" xfId="0" applyFont="1" applyFill="1" applyBorder="1" applyAlignment="1" applyProtection="1">
      <alignment horizontal="center"/>
      <protection locked="0" hidden="1"/>
    </xf>
    <xf numFmtId="0" fontId="4" fillId="4" borderId="11" xfId="0" applyFont="1" applyFill="1" applyBorder="1" applyAlignment="1" applyProtection="1">
      <alignment horizontal="center"/>
      <protection locked="0" hidden="1"/>
    </xf>
    <xf numFmtId="0" fontId="46" fillId="4" borderId="13" xfId="0" applyFont="1" applyFill="1" applyBorder="1" applyAlignment="1" applyProtection="1">
      <alignment horizontal="center"/>
      <protection locked="0" hidden="1"/>
    </xf>
    <xf numFmtId="0" fontId="11" fillId="4" borderId="22" xfId="0" applyFont="1" applyFill="1" applyBorder="1" applyAlignment="1" applyProtection="1">
      <alignment horizontal="center"/>
      <protection locked="0" hidden="1"/>
    </xf>
    <xf numFmtId="0" fontId="15" fillId="4" borderId="67" xfId="0" applyFont="1" applyFill="1" applyBorder="1" applyAlignment="1" applyProtection="1">
      <alignment horizontal="center"/>
      <protection locked="0" hidden="1"/>
    </xf>
    <xf numFmtId="2" fontId="11" fillId="3" borderId="86" xfId="0" applyNumberFormat="1" applyFont="1" applyFill="1" applyBorder="1" applyAlignment="1" applyProtection="1">
      <alignment horizontal="center"/>
      <protection hidden="1"/>
    </xf>
    <xf numFmtId="2" fontId="11" fillId="3" borderId="79" xfId="0" applyNumberFormat="1" applyFont="1" applyFill="1" applyBorder="1" applyAlignment="1" applyProtection="1">
      <alignment horizontal="center"/>
      <protection hidden="1"/>
    </xf>
    <xf numFmtId="2" fontId="15" fillId="3" borderId="66" xfId="0" applyNumberFormat="1" applyFont="1" applyFill="1" applyBorder="1" applyAlignment="1" applyProtection="1">
      <alignment horizontal="center" vertical="center"/>
      <protection hidden="1"/>
    </xf>
    <xf numFmtId="1" fontId="11" fillId="3" borderId="70" xfId="0" applyNumberFormat="1" applyFont="1" applyFill="1" applyBorder="1" applyAlignment="1" applyProtection="1">
      <alignment horizontal="center"/>
      <protection hidden="1"/>
    </xf>
    <xf numFmtId="1" fontId="11" fillId="3" borderId="58" xfId="0" applyNumberFormat="1" applyFont="1" applyFill="1" applyBorder="1" applyAlignment="1" applyProtection="1">
      <alignment horizontal="center"/>
      <protection hidden="1"/>
    </xf>
    <xf numFmtId="1" fontId="11" fillId="3" borderId="57" xfId="0" applyNumberFormat="1" applyFont="1" applyFill="1" applyBorder="1" applyAlignment="1" applyProtection="1">
      <alignment horizontal="center"/>
      <protection hidden="1"/>
    </xf>
    <xf numFmtId="1" fontId="15" fillId="3" borderId="67" xfId="0" applyNumberFormat="1" applyFont="1" applyFill="1" applyBorder="1" applyAlignment="1" applyProtection="1">
      <alignment horizontal="center" vertical="center"/>
      <protection hidden="1"/>
    </xf>
    <xf numFmtId="2" fontId="11" fillId="3" borderId="2" xfId="0" applyNumberFormat="1" applyFont="1" applyFill="1" applyBorder="1" applyAlignment="1" applyProtection="1">
      <alignment horizontal="center"/>
      <protection hidden="1"/>
    </xf>
    <xf numFmtId="2" fontId="11" fillId="3" borderId="0" xfId="0" applyNumberFormat="1" applyFont="1" applyFill="1" applyAlignment="1" applyProtection="1">
      <alignment horizontal="center"/>
      <protection hidden="1"/>
    </xf>
    <xf numFmtId="2" fontId="15" fillId="3" borderId="50" xfId="0" applyNumberFormat="1" applyFont="1" applyFill="1" applyBorder="1" applyAlignment="1" applyProtection="1">
      <alignment horizontal="center" vertical="center"/>
      <protection hidden="1"/>
    </xf>
    <xf numFmtId="0" fontId="4" fillId="3" borderId="74" xfId="0" applyFont="1" applyFill="1" applyBorder="1" applyAlignment="1" applyProtection="1">
      <alignment horizontal="center"/>
      <protection hidden="1"/>
    </xf>
    <xf numFmtId="2" fontId="11" fillId="3" borderId="69" xfId="0" applyNumberFormat="1" applyFont="1" applyFill="1" applyBorder="1" applyAlignment="1" applyProtection="1">
      <alignment horizontal="center"/>
      <protection hidden="1"/>
    </xf>
    <xf numFmtId="2" fontId="11" fillId="2" borderId="2" xfId="0" applyNumberFormat="1" applyFont="1" applyFill="1" applyBorder="1" applyAlignment="1" applyProtection="1">
      <alignment horizontal="center"/>
      <protection hidden="1"/>
    </xf>
    <xf numFmtId="2" fontId="46" fillId="0" borderId="58" xfId="0" applyNumberFormat="1" applyFont="1" applyBorder="1" applyAlignment="1" applyProtection="1">
      <alignment horizontal="center"/>
      <protection hidden="1"/>
    </xf>
    <xf numFmtId="2" fontId="46" fillId="0" borderId="57" xfId="0" applyNumberFormat="1" applyFont="1" applyBorder="1" applyAlignment="1" applyProtection="1">
      <alignment horizontal="center"/>
      <protection hidden="1"/>
    </xf>
    <xf numFmtId="2" fontId="46" fillId="0" borderId="0" xfId="0" applyNumberFormat="1" applyFont="1" applyAlignment="1" applyProtection="1">
      <alignment horizontal="center"/>
      <protection hidden="1"/>
    </xf>
    <xf numFmtId="2" fontId="46" fillId="2" borderId="57" xfId="0" applyNumberFormat="1" applyFont="1" applyFill="1" applyBorder="1" applyAlignment="1" applyProtection="1">
      <alignment horizontal="center"/>
      <protection hidden="1"/>
    </xf>
    <xf numFmtId="2" fontId="46" fillId="2" borderId="58" xfId="0" applyNumberFormat="1" applyFont="1" applyFill="1" applyBorder="1" applyAlignment="1" applyProtection="1">
      <alignment horizontal="center"/>
      <protection hidden="1"/>
    </xf>
    <xf numFmtId="2" fontId="11" fillId="2" borderId="57" xfId="0" applyNumberFormat="1" applyFont="1" applyFill="1" applyBorder="1" applyAlignment="1" applyProtection="1">
      <alignment horizontal="center"/>
      <protection hidden="1"/>
    </xf>
    <xf numFmtId="164" fontId="11" fillId="0" borderId="57" xfId="0" applyNumberFormat="1" applyFont="1" applyBorder="1" applyAlignment="1" applyProtection="1">
      <alignment horizontal="center"/>
      <protection hidden="1"/>
    </xf>
    <xf numFmtId="164" fontId="11" fillId="0" borderId="58" xfId="0" applyNumberFormat="1" applyFont="1" applyBorder="1" applyAlignment="1" applyProtection="1">
      <alignment horizontal="center"/>
      <protection hidden="1"/>
    </xf>
    <xf numFmtId="1" fontId="15" fillId="2" borderId="67" xfId="0" applyNumberFormat="1" applyFont="1" applyFill="1" applyBorder="1" applyAlignment="1" applyProtection="1">
      <alignment horizontal="center"/>
      <protection hidden="1"/>
    </xf>
    <xf numFmtId="1" fontId="11" fillId="0" borderId="13" xfId="0" applyNumberFormat="1" applyFont="1" applyBorder="1" applyAlignment="1" applyProtection="1">
      <alignment horizontal="center"/>
      <protection hidden="1"/>
    </xf>
    <xf numFmtId="1" fontId="15" fillId="0" borderId="13" xfId="0" applyNumberFormat="1" applyFont="1" applyBorder="1" applyAlignment="1" applyProtection="1">
      <alignment horizontal="center"/>
      <protection hidden="1"/>
    </xf>
    <xf numFmtId="1" fontId="15" fillId="2" borderId="23" xfId="0" applyNumberFormat="1" applyFont="1" applyFill="1" applyBorder="1" applyAlignment="1" applyProtection="1">
      <alignment horizontal="center"/>
      <protection hidden="1"/>
    </xf>
    <xf numFmtId="0" fontId="11" fillId="2" borderId="34" xfId="0" applyFont="1" applyFill="1" applyBorder="1" applyAlignment="1" applyProtection="1">
      <alignment horizontal="center"/>
      <protection hidden="1"/>
    </xf>
    <xf numFmtId="0" fontId="11" fillId="2" borderId="37" xfId="0" applyFont="1" applyFill="1" applyBorder="1" applyAlignment="1" applyProtection="1">
      <alignment horizontal="center"/>
      <protection hidden="1"/>
    </xf>
    <xf numFmtId="0" fontId="15" fillId="2" borderId="40" xfId="0" applyFont="1" applyFill="1" applyBorder="1" applyAlignment="1" applyProtection="1">
      <alignment horizontal="center"/>
      <protection hidden="1"/>
    </xf>
    <xf numFmtId="0" fontId="11" fillId="2" borderId="18" xfId="0" applyFont="1" applyFill="1" applyBorder="1" applyAlignment="1" applyProtection="1">
      <alignment horizontal="center"/>
      <protection hidden="1"/>
    </xf>
    <xf numFmtId="1" fontId="15" fillId="0" borderId="23" xfId="0" applyNumberFormat="1" applyFont="1" applyBorder="1" applyAlignment="1" applyProtection="1">
      <alignment horizontal="center"/>
      <protection hidden="1"/>
    </xf>
    <xf numFmtId="1" fontId="15" fillId="0" borderId="47" xfId="0" applyNumberFormat="1" applyFont="1" applyBorder="1" applyAlignment="1" applyProtection="1">
      <alignment horizontal="center"/>
      <protection hidden="1"/>
    </xf>
    <xf numFmtId="1" fontId="15" fillId="0" borderId="87" xfId="0" applyNumberFormat="1" applyFont="1" applyBorder="1" applyAlignment="1" applyProtection="1">
      <alignment horizontal="center"/>
      <protection hidden="1"/>
    </xf>
    <xf numFmtId="164" fontId="15" fillId="0" borderId="13" xfId="0" applyNumberFormat="1" applyFont="1" applyBorder="1" applyAlignment="1" applyProtection="1">
      <alignment horizontal="center"/>
      <protection hidden="1"/>
    </xf>
    <xf numFmtId="1" fontId="15" fillId="2" borderId="13" xfId="0" applyNumberFormat="1" applyFont="1" applyFill="1" applyBorder="1" applyAlignment="1" applyProtection="1">
      <alignment horizontal="center"/>
      <protection hidden="1"/>
    </xf>
    <xf numFmtId="1" fontId="15" fillId="0" borderId="17" xfId="0" applyNumberFormat="1" applyFont="1" applyBorder="1" applyAlignment="1" applyProtection="1">
      <alignment horizontal="center"/>
      <protection hidden="1"/>
    </xf>
    <xf numFmtId="164" fontId="15" fillId="2" borderId="13" xfId="0" applyNumberFormat="1" applyFont="1" applyFill="1" applyBorder="1" applyAlignment="1" applyProtection="1">
      <alignment horizontal="center"/>
      <protection hidden="1"/>
    </xf>
    <xf numFmtId="2" fontId="15" fillId="0" borderId="7" xfId="0" applyNumberFormat="1" applyFont="1" applyBorder="1" applyProtection="1">
      <protection hidden="1"/>
    </xf>
    <xf numFmtId="0" fontId="15" fillId="0" borderId="28" xfId="0" applyFont="1" applyBorder="1" applyAlignment="1" applyProtection="1">
      <alignment horizontal="center"/>
      <protection hidden="1"/>
    </xf>
    <xf numFmtId="0" fontId="11" fillId="2" borderId="17" xfId="0" applyFont="1" applyFill="1" applyBorder="1" applyAlignment="1" applyProtection="1">
      <alignment horizontal="center"/>
      <protection hidden="1"/>
    </xf>
    <xf numFmtId="0" fontId="15" fillId="0" borderId="2" xfId="0" applyFont="1" applyBorder="1" applyAlignment="1" applyProtection="1">
      <alignment horizontal="center"/>
      <protection hidden="1"/>
    </xf>
    <xf numFmtId="14" fontId="11" fillId="5" borderId="88" xfId="0" applyNumberFormat="1" applyFont="1" applyFill="1" applyBorder="1" applyAlignment="1" applyProtection="1">
      <alignment horizontal="center" vertical="center"/>
      <protection locked="0" hidden="1"/>
    </xf>
    <xf numFmtId="0" fontId="15" fillId="5" borderId="89" xfId="0" applyFont="1" applyFill="1" applyBorder="1" applyAlignment="1" applyProtection="1">
      <alignment horizontal="center" vertical="center"/>
      <protection locked="0" hidden="1"/>
    </xf>
    <xf numFmtId="0" fontId="0" fillId="0" borderId="90" xfId="0" applyBorder="1"/>
    <xf numFmtId="0" fontId="11" fillId="0" borderId="19" xfId="0" applyFont="1" applyBorder="1" applyAlignment="1" applyProtection="1">
      <alignment vertical="center"/>
      <protection hidden="1"/>
    </xf>
    <xf numFmtId="0" fontId="7" fillId="0" borderId="91" xfId="0" applyFont="1" applyBorder="1" applyProtection="1">
      <protection hidden="1"/>
    </xf>
    <xf numFmtId="0" fontId="15" fillId="2" borderId="92" xfId="0" applyFont="1" applyFill="1" applyBorder="1" applyAlignment="1" applyProtection="1">
      <alignment horizontal="left" vertical="center"/>
      <protection hidden="1"/>
    </xf>
    <xf numFmtId="0" fontId="15" fillId="0" borderId="67" xfId="0" applyFont="1" applyBorder="1" applyAlignment="1" applyProtection="1">
      <alignment horizontal="center" wrapText="1"/>
      <protection hidden="1"/>
    </xf>
    <xf numFmtId="0" fontId="15" fillId="4" borderId="47" xfId="0" applyFont="1" applyFill="1" applyBorder="1" applyAlignment="1" applyProtection="1">
      <alignment horizontal="center"/>
      <protection locked="0" hidden="1"/>
    </xf>
    <xf numFmtId="0" fontId="15" fillId="4" borderId="13" xfId="0" applyFont="1" applyFill="1" applyBorder="1" applyAlignment="1" applyProtection="1">
      <alignment horizontal="center"/>
      <protection locked="0" hidden="1"/>
    </xf>
    <xf numFmtId="0" fontId="15" fillId="4" borderId="23" xfId="0" applyFont="1" applyFill="1" applyBorder="1" applyAlignment="1" applyProtection="1">
      <alignment horizontal="center"/>
      <protection locked="0" hidden="1"/>
    </xf>
    <xf numFmtId="0" fontId="4" fillId="0" borderId="9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0" fontId="11" fillId="0" borderId="34" xfId="0" applyFont="1" applyBorder="1" applyAlignment="1" applyProtection="1">
      <alignment horizontal="center"/>
      <protection hidden="1"/>
    </xf>
    <xf numFmtId="0" fontId="11" fillId="0" borderId="40" xfId="0" applyFont="1" applyBorder="1" applyAlignment="1" applyProtection="1">
      <alignment horizontal="center"/>
      <protection hidden="1"/>
    </xf>
    <xf numFmtId="0" fontId="11" fillId="0" borderId="28" xfId="0" applyFont="1" applyBorder="1" applyAlignment="1" applyProtection="1">
      <alignment horizontal="center"/>
      <protection hidden="1"/>
    </xf>
    <xf numFmtId="0" fontId="11" fillId="0" borderId="58" xfId="0" applyFont="1" applyBorder="1" applyAlignment="1" applyProtection="1">
      <alignment horizontal="center"/>
      <protection hidden="1"/>
    </xf>
    <xf numFmtId="0" fontId="15" fillId="0" borderId="59" xfId="0" applyFont="1" applyBorder="1" applyAlignment="1" applyProtection="1">
      <alignment horizontal="center"/>
      <protection hidden="1"/>
    </xf>
    <xf numFmtId="0" fontId="76" fillId="0" borderId="0" xfId="0" applyFont="1" applyProtection="1">
      <protection hidden="1"/>
    </xf>
    <xf numFmtId="0" fontId="77" fillId="0" borderId="0" xfId="0" applyFont="1" applyProtection="1">
      <protection hidden="1"/>
    </xf>
    <xf numFmtId="0" fontId="78" fillId="0" borderId="0" xfId="0" applyFont="1" applyProtection="1">
      <protection hidden="1"/>
    </xf>
    <xf numFmtId="0" fontId="79" fillId="0" borderId="0" xfId="0" applyFont="1" applyProtection="1">
      <protection hidden="1"/>
    </xf>
    <xf numFmtId="0" fontId="80" fillId="0" borderId="0" xfId="0" applyFont="1" applyProtection="1">
      <protection hidden="1"/>
    </xf>
    <xf numFmtId="0" fontId="10" fillId="0" borderId="20" xfId="0" applyFont="1" applyBorder="1" applyAlignment="1" applyProtection="1">
      <alignment wrapText="1"/>
      <protection hidden="1"/>
    </xf>
    <xf numFmtId="0" fontId="10" fillId="0" borderId="93" xfId="0" applyFont="1" applyBorder="1" applyAlignment="1" applyProtection="1">
      <alignment wrapText="1"/>
      <protection hidden="1"/>
    </xf>
    <xf numFmtId="0" fontId="10" fillId="0" borderId="0" xfId="0" applyFont="1" applyAlignment="1" applyProtection="1">
      <alignment wrapText="1"/>
      <protection hidden="1"/>
    </xf>
    <xf numFmtId="0" fontId="10" fillId="0" borderId="38" xfId="0" applyFont="1" applyBorder="1" applyAlignment="1" applyProtection="1">
      <alignment wrapText="1"/>
      <protection hidden="1"/>
    </xf>
    <xf numFmtId="0" fontId="11" fillId="0" borderId="22" xfId="0" applyFont="1" applyBorder="1" applyAlignment="1" applyProtection="1">
      <alignment horizontal="center" textRotation="90" wrapText="1"/>
      <protection hidden="1"/>
    </xf>
    <xf numFmtId="0" fontId="1" fillId="0" borderId="94" xfId="0" applyFont="1" applyBorder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58" fillId="0" borderId="14" xfId="0" applyFont="1" applyBorder="1" applyAlignment="1" applyProtection="1">
      <alignment horizontal="center"/>
      <protection hidden="1"/>
    </xf>
    <xf numFmtId="0" fontId="10" fillId="0" borderId="2" xfId="0" applyFont="1" applyBorder="1" applyAlignment="1" applyProtection="1">
      <alignment horizontal="center" wrapText="1"/>
      <protection hidden="1"/>
    </xf>
    <xf numFmtId="0" fontId="10" fillId="0" borderId="2" xfId="0" applyFont="1" applyBorder="1" applyAlignment="1" applyProtection="1">
      <alignment horizontal="center"/>
      <protection hidden="1"/>
    </xf>
    <xf numFmtId="0" fontId="14" fillId="0" borderId="95" xfId="0" applyFont="1" applyBorder="1" applyAlignment="1" applyProtection="1">
      <alignment horizontal="center" wrapText="1"/>
      <protection hidden="1"/>
    </xf>
    <xf numFmtId="0" fontId="0" fillId="0" borderId="29" xfId="0" applyBorder="1" applyProtection="1">
      <protection hidden="1"/>
    </xf>
    <xf numFmtId="0" fontId="0" fillId="0" borderId="31" xfId="0" applyBorder="1" applyProtection="1">
      <protection hidden="1"/>
    </xf>
    <xf numFmtId="0" fontId="0" fillId="0" borderId="4" xfId="0" applyBorder="1" applyProtection="1">
      <protection hidden="1"/>
    </xf>
    <xf numFmtId="0" fontId="11" fillId="2" borderId="96" xfId="0" applyFont="1" applyFill="1" applyBorder="1" applyAlignment="1" applyProtection="1">
      <alignment horizontal="center"/>
      <protection hidden="1"/>
    </xf>
    <xf numFmtId="0" fontId="11" fillId="2" borderId="4" xfId="0" applyFont="1" applyFill="1" applyBorder="1" applyAlignment="1" applyProtection="1">
      <alignment horizontal="center"/>
      <protection hidden="1"/>
    </xf>
    <xf numFmtId="0" fontId="11" fillId="2" borderId="30" xfId="0" applyFont="1" applyFill="1" applyBorder="1" applyAlignment="1" applyProtection="1">
      <alignment horizontal="center"/>
      <protection hidden="1"/>
    </xf>
    <xf numFmtId="0" fontId="11" fillId="0" borderId="97" xfId="0" applyFont="1" applyBorder="1" applyProtection="1">
      <protection hidden="1"/>
    </xf>
    <xf numFmtId="0" fontId="11" fillId="0" borderId="29" xfId="0" applyFont="1" applyBorder="1" applyProtection="1">
      <protection hidden="1"/>
    </xf>
    <xf numFmtId="0" fontId="11" fillId="0" borderId="4" xfId="0" applyFont="1" applyBorder="1" applyProtection="1">
      <protection hidden="1"/>
    </xf>
    <xf numFmtId="0" fontId="11" fillId="0" borderId="31" xfId="0" applyFont="1" applyBorder="1" applyProtection="1">
      <protection hidden="1"/>
    </xf>
    <xf numFmtId="0" fontId="15" fillId="3" borderId="98" xfId="0" applyFont="1" applyFill="1" applyBorder="1" applyAlignment="1" applyProtection="1">
      <alignment horizontal="center" vertical="center"/>
      <protection hidden="1"/>
    </xf>
    <xf numFmtId="0" fontId="11" fillId="6" borderId="70" xfId="0" applyFont="1" applyFill="1" applyBorder="1" applyAlignment="1" applyProtection="1">
      <alignment horizontal="center"/>
      <protection locked="0" hidden="1"/>
    </xf>
    <xf numFmtId="0" fontId="11" fillId="6" borderId="58" xfId="0" applyFont="1" applyFill="1" applyBorder="1" applyAlignment="1" applyProtection="1">
      <alignment horizontal="center"/>
      <protection locked="0" hidden="1"/>
    </xf>
    <xf numFmtId="0" fontId="11" fillId="6" borderId="59" xfId="0" applyFont="1" applyFill="1" applyBorder="1" applyAlignment="1" applyProtection="1">
      <alignment horizontal="center"/>
      <protection locked="0" hidden="1"/>
    </xf>
    <xf numFmtId="0" fontId="11" fillId="6" borderId="95" xfId="0" applyFont="1" applyFill="1" applyBorder="1" applyAlignment="1" applyProtection="1">
      <alignment horizontal="center"/>
      <protection locked="0" hidden="1"/>
    </xf>
    <xf numFmtId="0" fontId="11" fillId="6" borderId="57" xfId="0" applyFont="1" applyFill="1" applyBorder="1" applyAlignment="1" applyProtection="1">
      <alignment horizontal="center"/>
      <protection locked="0" hidden="1"/>
    </xf>
    <xf numFmtId="0" fontId="11" fillId="0" borderId="2" xfId="0" applyFont="1" applyBorder="1" applyAlignment="1" applyProtection="1">
      <alignment horizontal="center"/>
      <protection locked="0" hidden="1"/>
    </xf>
    <xf numFmtId="0" fontId="11" fillId="0" borderId="99" xfId="0" applyFont="1" applyBorder="1" applyAlignment="1" applyProtection="1">
      <alignment horizontal="center"/>
      <protection hidden="1"/>
    </xf>
    <xf numFmtId="0" fontId="16" fillId="0" borderId="100" xfId="0" applyFont="1" applyBorder="1" applyAlignment="1" applyProtection="1">
      <alignment horizontal="center"/>
      <protection hidden="1"/>
    </xf>
    <xf numFmtId="0" fontId="16" fillId="0" borderId="101" xfId="0" applyFont="1" applyBorder="1" applyAlignment="1" applyProtection="1">
      <alignment horizontal="center"/>
      <protection hidden="1"/>
    </xf>
    <xf numFmtId="0" fontId="27" fillId="0" borderId="96" xfId="0" applyFont="1" applyBorder="1" applyAlignment="1" applyProtection="1">
      <alignment horizontal="center"/>
      <protection hidden="1"/>
    </xf>
    <xf numFmtId="0" fontId="31" fillId="0" borderId="20" xfId="0" applyFont="1" applyBorder="1" applyProtection="1">
      <protection hidden="1"/>
    </xf>
    <xf numFmtId="0" fontId="11" fillId="0" borderId="29" xfId="0" applyFont="1" applyBorder="1" applyAlignment="1" applyProtection="1">
      <alignment horizontal="center"/>
      <protection hidden="1"/>
    </xf>
    <xf numFmtId="0" fontId="15" fillId="0" borderId="67" xfId="0" applyFont="1" applyBorder="1" applyAlignment="1" applyProtection="1">
      <alignment horizontal="center"/>
      <protection locked="0"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2" borderId="51" xfId="0" applyFont="1" applyFill="1" applyBorder="1" applyAlignment="1" applyProtection="1">
      <alignment horizontal="center"/>
      <protection hidden="1"/>
    </xf>
    <xf numFmtId="0" fontId="11" fillId="4" borderId="14" xfId="0" applyFont="1" applyFill="1" applyBorder="1" applyAlignment="1" applyProtection="1">
      <alignment horizontal="center"/>
      <protection locked="0" hidden="1"/>
    </xf>
    <xf numFmtId="0" fontId="27" fillId="4" borderId="14" xfId="0" applyFont="1" applyFill="1" applyBorder="1" applyAlignment="1" applyProtection="1">
      <alignment horizontal="center"/>
      <protection locked="0" hidden="1"/>
    </xf>
    <xf numFmtId="0" fontId="27" fillId="4" borderId="14" xfId="0" applyFont="1" applyFill="1" applyBorder="1" applyProtection="1">
      <protection locked="0" hidden="1"/>
    </xf>
    <xf numFmtId="0" fontId="16" fillId="4" borderId="47" xfId="0" applyFont="1" applyFill="1" applyBorder="1" applyAlignment="1" applyProtection="1">
      <alignment horizontal="center"/>
      <protection locked="0" hidden="1"/>
    </xf>
    <xf numFmtId="0" fontId="16" fillId="4" borderId="102" xfId="0" applyFont="1" applyFill="1" applyBorder="1" applyAlignment="1" applyProtection="1">
      <alignment horizontal="center"/>
      <protection locked="0" hidden="1"/>
    </xf>
    <xf numFmtId="0" fontId="16" fillId="4" borderId="87" xfId="0" applyFont="1" applyFill="1" applyBorder="1" applyAlignment="1" applyProtection="1">
      <alignment horizontal="center"/>
      <protection locked="0" hidden="1"/>
    </xf>
    <xf numFmtId="0" fontId="38" fillId="7" borderId="0" xfId="0" applyFont="1" applyFill="1" applyAlignment="1" applyProtection="1">
      <alignment horizontal="center"/>
      <protection hidden="1"/>
    </xf>
    <xf numFmtId="0" fontId="53" fillId="2" borderId="0" xfId="0" applyFont="1" applyFill="1" applyProtection="1">
      <protection hidden="1"/>
    </xf>
    <xf numFmtId="0" fontId="44" fillId="2" borderId="0" xfId="0" applyFont="1" applyFill="1" applyProtection="1">
      <protection hidden="1"/>
    </xf>
    <xf numFmtId="0" fontId="21" fillId="2" borderId="13" xfId="0" applyFont="1" applyFill="1" applyBorder="1" applyProtection="1">
      <protection hidden="1"/>
    </xf>
    <xf numFmtId="0" fontId="4" fillId="2" borderId="13" xfId="0" applyFont="1" applyFill="1" applyBorder="1" applyProtection="1">
      <protection hidden="1"/>
    </xf>
    <xf numFmtId="0" fontId="4" fillId="0" borderId="13" xfId="0" applyFont="1" applyBorder="1" applyProtection="1">
      <protection hidden="1"/>
    </xf>
    <xf numFmtId="0" fontId="37" fillId="2" borderId="13" xfId="0" applyFont="1" applyFill="1" applyBorder="1" applyProtection="1">
      <protection hidden="1"/>
    </xf>
    <xf numFmtId="0" fontId="39" fillId="2" borderId="13" xfId="0" applyFont="1" applyFill="1" applyBorder="1" applyProtection="1">
      <protection hidden="1"/>
    </xf>
    <xf numFmtId="0" fontId="0" fillId="4" borderId="11" xfId="0" applyFill="1" applyBorder="1" applyProtection="1">
      <protection locked="0" hidden="1"/>
    </xf>
    <xf numFmtId="0" fontId="4" fillId="4" borderId="11" xfId="0" applyFont="1" applyFill="1" applyBorder="1" applyProtection="1">
      <protection locked="0" hidden="1"/>
    </xf>
    <xf numFmtId="165" fontId="86" fillId="2" borderId="0" xfId="0" applyNumberFormat="1" applyFont="1" applyFill="1" applyProtection="1">
      <protection hidden="1"/>
    </xf>
    <xf numFmtId="0" fontId="21" fillId="0" borderId="0" xfId="0" applyFont="1" applyProtection="1">
      <protection locked="0"/>
    </xf>
    <xf numFmtId="0" fontId="37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3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6" borderId="14" xfId="0" applyFont="1" applyFill="1" applyBorder="1" applyAlignment="1" applyProtection="1">
      <alignment horizontal="center"/>
      <protection locked="0" hidden="1"/>
    </xf>
    <xf numFmtId="0" fontId="11" fillId="0" borderId="103" xfId="0" applyFont="1" applyBorder="1" applyAlignment="1" applyProtection="1">
      <alignment horizontal="center"/>
      <protection hidden="1"/>
    </xf>
    <xf numFmtId="0" fontId="46" fillId="2" borderId="103" xfId="0" applyFont="1" applyFill="1" applyBorder="1" applyAlignment="1" applyProtection="1">
      <alignment horizontal="center"/>
      <protection hidden="1"/>
    </xf>
    <xf numFmtId="0" fontId="0" fillId="0" borderId="57" xfId="0" applyBorder="1" applyProtection="1">
      <protection hidden="1"/>
    </xf>
    <xf numFmtId="0" fontId="0" fillId="0" borderId="2" xfId="0" applyBorder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left"/>
      <protection hidden="1"/>
    </xf>
    <xf numFmtId="0" fontId="11" fillId="0" borderId="14" xfId="0" applyFont="1" applyBorder="1" applyAlignment="1" applyProtection="1">
      <alignment horizontal="center"/>
      <protection locked="0" hidden="1"/>
    </xf>
    <xf numFmtId="164" fontId="11" fillId="6" borderId="57" xfId="0" applyNumberFormat="1" applyFont="1" applyFill="1" applyBorder="1" applyAlignment="1" applyProtection="1">
      <alignment horizontal="center"/>
      <protection locked="0" hidden="1"/>
    </xf>
    <xf numFmtId="0" fontId="2" fillId="0" borderId="21" xfId="0" applyFont="1" applyBorder="1" applyAlignment="1" applyProtection="1">
      <alignment horizontal="left"/>
      <protection hidden="1"/>
    </xf>
    <xf numFmtId="0" fontId="11" fillId="0" borderId="33" xfId="0" applyFont="1" applyBorder="1" applyProtection="1">
      <protection hidden="1"/>
    </xf>
    <xf numFmtId="0" fontId="11" fillId="0" borderId="34" xfId="0" applyFont="1" applyBorder="1" applyAlignment="1" applyProtection="1">
      <alignment horizontal="center"/>
      <protection locked="0" hidden="1"/>
    </xf>
    <xf numFmtId="0" fontId="11" fillId="0" borderId="104" xfId="0" applyFont="1" applyBorder="1" applyAlignment="1" applyProtection="1">
      <alignment horizontal="center"/>
      <protection hidden="1"/>
    </xf>
    <xf numFmtId="2" fontId="46" fillId="2" borderId="103" xfId="0" applyNumberFormat="1" applyFont="1" applyFill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left"/>
      <protection hidden="1"/>
    </xf>
    <xf numFmtId="0" fontId="11" fillId="0" borderId="39" xfId="0" applyFont="1" applyBorder="1" applyProtection="1">
      <protection hidden="1"/>
    </xf>
    <xf numFmtId="0" fontId="11" fillId="0" borderId="40" xfId="0" applyFont="1" applyBorder="1" applyAlignment="1" applyProtection="1">
      <alignment horizontal="center"/>
      <protection locked="0" hidden="1"/>
    </xf>
    <xf numFmtId="164" fontId="11" fillId="0" borderId="103" xfId="0" applyNumberFormat="1" applyFont="1" applyBorder="1" applyAlignment="1" applyProtection="1">
      <alignment horizontal="center"/>
      <protection locked="0" hidden="1"/>
    </xf>
    <xf numFmtId="164" fontId="11" fillId="0" borderId="57" xfId="0" applyNumberFormat="1" applyFont="1" applyBorder="1" applyAlignment="1" applyProtection="1">
      <alignment horizontal="center"/>
      <protection locked="0" hidden="1"/>
    </xf>
    <xf numFmtId="9" fontId="11" fillId="0" borderId="58" xfId="0" applyNumberFormat="1" applyFont="1" applyBorder="1" applyAlignment="1" applyProtection="1">
      <alignment horizontal="center"/>
      <protection hidden="1"/>
    </xf>
    <xf numFmtId="0" fontId="87" fillId="0" borderId="0" xfId="0" applyFont="1" applyProtection="1">
      <protection hidden="1"/>
    </xf>
    <xf numFmtId="0" fontId="88" fillId="0" borderId="0" xfId="0" applyFont="1" applyProtection="1">
      <protection hidden="1"/>
    </xf>
    <xf numFmtId="0" fontId="89" fillId="0" borderId="0" xfId="0" applyFont="1" applyProtection="1">
      <protection hidden="1"/>
    </xf>
    <xf numFmtId="0" fontId="87" fillId="0" borderId="0" xfId="0" applyFont="1" applyProtection="1">
      <protection hidden="1"/>
    </xf>
    <xf numFmtId="0" fontId="83" fillId="0" borderId="0" xfId="0" applyFont="1" applyProtection="1">
      <protection hidden="1"/>
    </xf>
    <xf numFmtId="0" fontId="84" fillId="0" borderId="0" xfId="0" applyFont="1" applyProtection="1">
      <protection hidden="1"/>
    </xf>
    <xf numFmtId="0" fontId="90" fillId="0" borderId="0" xfId="0" applyFont="1" applyProtection="1">
      <protection hidden="1"/>
    </xf>
    <xf numFmtId="0" fontId="87" fillId="0" borderId="0" xfId="0" applyFont="1" applyProtection="1">
      <protection hidden="1"/>
    </xf>
    <xf numFmtId="0" fontId="91" fillId="0" borderId="0" xfId="0" applyFont="1" applyProtection="1">
      <protection hidden="1"/>
    </xf>
    <xf numFmtId="0" fontId="92" fillId="0" borderId="0" xfId="0" applyFont="1" applyProtection="1">
      <protection hidden="1"/>
    </xf>
    <xf numFmtId="0" fontId="93" fillId="0" borderId="0" xfId="0" applyFont="1" applyProtection="1">
      <protection hidden="1"/>
    </xf>
    <xf numFmtId="0" fontId="85" fillId="0" borderId="0" xfId="0" applyFont="1" applyProtection="1">
      <protection hidden="1"/>
    </xf>
    <xf numFmtId="0" fontId="94" fillId="0" borderId="0" xfId="0" applyFont="1" applyProtection="1">
      <protection hidden="1"/>
    </xf>
    <xf numFmtId="0" fontId="94" fillId="0" borderId="0" xfId="0" applyFont="1" applyProtection="1">
      <protection hidden="1"/>
    </xf>
    <xf numFmtId="0" fontId="85" fillId="0" borderId="0" xfId="0" applyFont="1" applyProtection="1">
      <protection hidden="1"/>
    </xf>
    <xf numFmtId="0" fontId="95" fillId="0" borderId="0" xfId="0" applyFont="1" applyProtection="1">
      <protection hidden="1"/>
    </xf>
    <xf numFmtId="0" fontId="96" fillId="0" borderId="0" xfId="0" applyFont="1" applyProtection="1">
      <protection hidden="1"/>
    </xf>
    <xf numFmtId="0" fontId="97" fillId="0" borderId="0" xfId="0" applyFont="1" applyProtection="1">
      <protection hidden="1"/>
    </xf>
    <xf numFmtId="0" fontId="95" fillId="0" borderId="0" xfId="0" applyFont="1" applyAlignment="1" applyProtection="1">
      <alignment textRotation="90" wrapText="1"/>
      <protection hidden="1"/>
    </xf>
    <xf numFmtId="0" fontId="98" fillId="0" borderId="0" xfId="0" applyFont="1" applyAlignment="1" applyProtection="1">
      <alignment horizontal="center" textRotation="88"/>
      <protection hidden="1"/>
    </xf>
    <xf numFmtId="0" fontId="99" fillId="0" borderId="0" xfId="0" applyFont="1" applyProtection="1">
      <protection hidden="1"/>
    </xf>
    <xf numFmtId="0" fontId="99" fillId="0" borderId="0" xfId="0" applyFont="1" applyAlignment="1" applyProtection="1">
      <alignment horizontal="center"/>
      <protection hidden="1"/>
    </xf>
    <xf numFmtId="0" fontId="99" fillId="3" borderId="0" xfId="0" applyFont="1" applyFill="1" applyAlignment="1" applyProtection="1">
      <alignment horizontal="center"/>
      <protection hidden="1"/>
    </xf>
    <xf numFmtId="0" fontId="100" fillId="0" borderId="0" xfId="0" applyFont="1" applyProtection="1">
      <protection hidden="1"/>
    </xf>
    <xf numFmtId="0" fontId="1" fillId="0" borderId="67" xfId="0" applyFont="1" applyBorder="1" applyAlignment="1" applyProtection="1">
      <alignment horizontal="center" wrapText="1"/>
      <protection hidden="1"/>
    </xf>
    <xf numFmtId="1" fontId="11" fillId="0" borderId="70" xfId="0" applyNumberFormat="1" applyFont="1" applyFill="1" applyBorder="1" applyAlignment="1" applyProtection="1">
      <alignment horizontal="center"/>
      <protection hidden="1"/>
    </xf>
    <xf numFmtId="0" fontId="2" fillId="0" borderId="0" xfId="0" applyFont="1"/>
    <xf numFmtId="0" fontId="101" fillId="0" borderId="0" xfId="0" applyFont="1"/>
    <xf numFmtId="0" fontId="90" fillId="0" borderId="0" xfId="0" applyFont="1" applyAlignment="1" applyProtection="1">
      <alignment horizontal="center" vertical="center"/>
      <protection hidden="1"/>
    </xf>
    <xf numFmtId="0" fontId="14" fillId="3" borderId="50" xfId="0" applyFont="1" applyFill="1" applyBorder="1" applyProtection="1">
      <protection hidden="1"/>
    </xf>
    <xf numFmtId="0" fontId="12" fillId="3" borderId="50" xfId="0" applyFont="1" applyFill="1" applyBorder="1" applyAlignment="1" applyProtection="1">
      <alignment horizontal="center"/>
      <protection hidden="1"/>
    </xf>
    <xf numFmtId="0" fontId="0" fillId="3" borderId="15" xfId="0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top" textRotation="90"/>
      <protection hidden="1"/>
    </xf>
    <xf numFmtId="2" fontId="11" fillId="3" borderId="30" xfId="0" applyNumberFormat="1" applyFont="1" applyFill="1" applyBorder="1" applyAlignment="1" applyProtection="1">
      <alignment horizontal="center"/>
      <protection hidden="1"/>
    </xf>
    <xf numFmtId="0" fontId="15" fillId="3" borderId="51" xfId="0" applyFont="1" applyFill="1" applyBorder="1" applyAlignment="1" applyProtection="1">
      <alignment horizontal="center"/>
      <protection hidden="1"/>
    </xf>
    <xf numFmtId="2" fontId="15" fillId="3" borderId="51" xfId="0" applyNumberFormat="1" applyFont="1" applyFill="1" applyBorder="1" applyAlignment="1" applyProtection="1">
      <alignment horizontal="center" vertical="center"/>
      <protection hidden="1"/>
    </xf>
    <xf numFmtId="0" fontId="4" fillId="0" borderId="106" xfId="0" applyFont="1" applyBorder="1" applyAlignment="1" applyProtection="1">
      <alignment horizontal="center" textRotation="90" wrapText="1"/>
      <protection hidden="1"/>
    </xf>
    <xf numFmtId="0" fontId="4" fillId="0" borderId="107" xfId="0" applyFont="1" applyBorder="1" applyAlignment="1" applyProtection="1">
      <alignment horizontal="center" textRotation="90" wrapText="1"/>
      <protection hidden="1"/>
    </xf>
    <xf numFmtId="0" fontId="4" fillId="0" borderId="108" xfId="0" applyFont="1" applyBorder="1" applyAlignment="1" applyProtection="1">
      <alignment horizontal="center" textRotation="90" wrapText="1"/>
      <protection hidden="1"/>
    </xf>
    <xf numFmtId="0" fontId="4" fillId="3" borderId="86" xfId="0" applyFont="1" applyFill="1" applyBorder="1" applyAlignment="1" applyProtection="1">
      <alignment horizontal="center"/>
      <protection hidden="1"/>
    </xf>
    <xf numFmtId="0" fontId="0" fillId="3" borderId="69" xfId="0" applyFill="1" applyBorder="1" applyAlignment="1" applyProtection="1">
      <alignment horizontal="center"/>
      <protection hidden="1"/>
    </xf>
    <xf numFmtId="0" fontId="0" fillId="3" borderId="79" xfId="0" applyFill="1" applyBorder="1" applyAlignment="1" applyProtection="1">
      <alignment horizontal="center"/>
      <protection hidden="1"/>
    </xf>
    <xf numFmtId="0" fontId="0" fillId="3" borderId="108" xfId="0" applyFill="1" applyBorder="1" applyAlignment="1" applyProtection="1">
      <alignment horizontal="center"/>
      <protection hidden="1"/>
    </xf>
    <xf numFmtId="0" fontId="0" fillId="3" borderId="69" xfId="0" applyFill="1" applyBorder="1" applyProtection="1">
      <protection hidden="1"/>
    </xf>
    <xf numFmtId="0" fontId="0" fillId="3" borderId="107" xfId="0" applyFill="1" applyBorder="1" applyProtection="1">
      <protection hidden="1"/>
    </xf>
    <xf numFmtId="0" fontId="4" fillId="3" borderId="69" xfId="0" applyFont="1" applyFill="1" applyBorder="1" applyAlignment="1" applyProtection="1">
      <alignment horizontal="center"/>
      <protection hidden="1"/>
    </xf>
    <xf numFmtId="0" fontId="16" fillId="4" borderId="0" xfId="0" applyFont="1" applyFill="1" applyBorder="1" applyAlignment="1" applyProtection="1">
      <alignment horizontal="center"/>
      <protection locked="0" hidden="1"/>
    </xf>
    <xf numFmtId="0" fontId="4" fillId="3" borderId="109" xfId="0" applyFont="1" applyFill="1" applyBorder="1" applyAlignment="1" applyProtection="1">
      <alignment horizontal="center"/>
      <protection hidden="1"/>
    </xf>
    <xf numFmtId="2" fontId="11" fillId="3" borderId="74" xfId="0" applyNumberFormat="1" applyFont="1" applyFill="1" applyBorder="1" applyAlignment="1" applyProtection="1">
      <alignment horizontal="center"/>
      <protection hidden="1"/>
    </xf>
    <xf numFmtId="2" fontId="11" fillId="3" borderId="75" xfId="0" applyNumberFormat="1" applyFont="1" applyFill="1" applyBorder="1" applyAlignment="1" applyProtection="1">
      <alignment horizontal="center"/>
      <protection hidden="1"/>
    </xf>
    <xf numFmtId="2" fontId="11" fillId="3" borderId="110" xfId="0" applyNumberFormat="1" applyFont="1" applyFill="1" applyBorder="1" applyAlignment="1" applyProtection="1">
      <alignment horizontal="center"/>
      <protection hidden="1"/>
    </xf>
    <xf numFmtId="0" fontId="0" fillId="3" borderId="110" xfId="0" applyFill="1" applyBorder="1" applyAlignment="1" applyProtection="1">
      <alignment horizontal="center"/>
      <protection hidden="1"/>
    </xf>
    <xf numFmtId="0" fontId="0" fillId="3" borderId="51" xfId="0" applyFill="1" applyBorder="1" applyProtection="1">
      <protection hidden="1"/>
    </xf>
    <xf numFmtId="0" fontId="0" fillId="3" borderId="50" xfId="0" applyFill="1" applyBorder="1" applyProtection="1">
      <protection hidden="1"/>
    </xf>
    <xf numFmtId="0" fontId="0" fillId="0" borderId="0" xfId="0" applyBorder="1" applyProtection="1">
      <protection hidden="1"/>
    </xf>
    <xf numFmtId="0" fontId="4" fillId="0" borderId="66" xfId="0" applyFont="1" applyBorder="1" applyAlignment="1" applyProtection="1">
      <alignment horizontal="center" textRotation="90" wrapText="1"/>
      <protection hidden="1"/>
    </xf>
    <xf numFmtId="0" fontId="14" fillId="3" borderId="51" xfId="0" applyFont="1" applyFill="1" applyBorder="1" applyProtection="1">
      <protection hidden="1"/>
    </xf>
    <xf numFmtId="0" fontId="0" fillId="3" borderId="86" xfId="0" applyFill="1" applyBorder="1" applyAlignment="1" applyProtection="1">
      <alignment horizontal="center"/>
      <protection hidden="1"/>
    </xf>
    <xf numFmtId="2" fontId="15" fillId="3" borderId="73" xfId="0" applyNumberFormat="1" applyFont="1" applyFill="1" applyBorder="1" applyAlignment="1" applyProtection="1">
      <alignment horizontal="center" vertical="center"/>
      <protection hidden="1"/>
    </xf>
    <xf numFmtId="0" fontId="4" fillId="3" borderId="108" xfId="0" applyFont="1" applyFill="1" applyBorder="1" applyAlignment="1" applyProtection="1">
      <alignment horizontal="center"/>
      <protection hidden="1"/>
    </xf>
    <xf numFmtId="0" fontId="90" fillId="0" borderId="86" xfId="0" applyFont="1" applyBorder="1" applyAlignment="1" applyProtection="1">
      <alignment horizontal="center" vertical="center"/>
      <protection hidden="1"/>
    </xf>
    <xf numFmtId="0" fontId="90" fillId="0" borderId="111" xfId="0" applyFont="1" applyBorder="1" applyAlignment="1" applyProtection="1">
      <alignment horizontal="center" vertical="center"/>
      <protection hidden="1"/>
    </xf>
    <xf numFmtId="0" fontId="90" fillId="0" borderId="79" xfId="0" applyFont="1" applyBorder="1" applyAlignment="1" applyProtection="1">
      <alignment horizontal="center" vertical="center"/>
      <protection hidden="1"/>
    </xf>
    <xf numFmtId="0" fontId="12" fillId="3" borderId="51" xfId="0" applyFont="1" applyFill="1" applyBorder="1" applyAlignment="1" applyProtection="1">
      <alignment horizontal="center"/>
      <protection hidden="1"/>
    </xf>
    <xf numFmtId="0" fontId="4" fillId="0" borderId="65" xfId="0" applyFont="1" applyBorder="1" applyAlignment="1" applyProtection="1">
      <alignment horizontal="center" textRotation="90" wrapText="1"/>
      <protection hidden="1"/>
    </xf>
    <xf numFmtId="0" fontId="4" fillId="0" borderId="76" xfId="0" applyFont="1" applyBorder="1" applyAlignment="1" applyProtection="1">
      <alignment horizontal="center" textRotation="90" wrapText="1"/>
      <protection hidden="1"/>
    </xf>
    <xf numFmtId="0" fontId="19" fillId="0" borderId="13" xfId="1" applyBorder="1" applyAlignment="1" applyProtection="1">
      <alignment horizontal="center" wrapText="1"/>
      <protection hidden="1"/>
    </xf>
    <xf numFmtId="0" fontId="19" fillId="0" borderId="33" xfId="1" applyBorder="1" applyAlignment="1" applyProtection="1">
      <alignment horizontal="center" wrapText="1"/>
      <protection hidden="1"/>
    </xf>
    <xf numFmtId="0" fontId="19" fillId="0" borderId="47" xfId="1" applyBorder="1" applyAlignment="1" applyProtection="1">
      <alignment horizontal="center" wrapText="1"/>
      <protection hidden="1"/>
    </xf>
    <xf numFmtId="0" fontId="19" fillId="0" borderId="23" xfId="1" applyBorder="1" applyAlignment="1" applyProtection="1">
      <alignment horizontal="center" wrapText="1"/>
      <protection hidden="1"/>
    </xf>
    <xf numFmtId="0" fontId="87" fillId="0" borderId="22" xfId="0" applyFont="1" applyBorder="1" applyAlignment="1" applyProtection="1">
      <alignment horizontal="center" vertical="center"/>
      <protection hidden="1"/>
    </xf>
    <xf numFmtId="0" fontId="87" fillId="0" borderId="22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0" fontId="4" fillId="0" borderId="42" xfId="0" applyFont="1" applyFill="1" applyBorder="1" applyProtection="1">
      <protection hidden="1"/>
    </xf>
    <xf numFmtId="0" fontId="102" fillId="0" borderId="42" xfId="0" applyFont="1" applyFill="1" applyBorder="1" applyProtection="1">
      <protection hidden="1"/>
    </xf>
    <xf numFmtId="0" fontId="36" fillId="0" borderId="42" xfId="0" applyFont="1" applyFill="1" applyBorder="1" applyProtection="1">
      <protection hidden="1"/>
    </xf>
    <xf numFmtId="0" fontId="87" fillId="0" borderId="42" xfId="0" applyFont="1" applyFill="1" applyBorder="1" applyProtection="1">
      <protection hidden="1"/>
    </xf>
    <xf numFmtId="0" fontId="87" fillId="0" borderId="12" xfId="0" applyFont="1" applyFill="1" applyBorder="1" applyProtection="1">
      <protection hidden="1"/>
    </xf>
    <xf numFmtId="0" fontId="87" fillId="0" borderId="13" xfId="0" applyFont="1" applyFill="1" applyBorder="1" applyAlignment="1" applyProtection="1">
      <alignment horizontal="center"/>
      <protection hidden="1"/>
    </xf>
    <xf numFmtId="0" fontId="87" fillId="0" borderId="14" xfId="0" applyFont="1" applyFill="1" applyBorder="1" applyAlignment="1" applyProtection="1">
      <alignment horizontal="center"/>
      <protection hidden="1"/>
    </xf>
    <xf numFmtId="0" fontId="87" fillId="0" borderId="12" xfId="0" applyFont="1" applyFill="1" applyBorder="1" applyAlignment="1" applyProtection="1">
      <alignment horizontal="center"/>
      <protection hidden="1"/>
    </xf>
    <xf numFmtId="0" fontId="0" fillId="0" borderId="12" xfId="0" applyFill="1" applyBorder="1" applyProtection="1">
      <protection hidden="1"/>
    </xf>
    <xf numFmtId="2" fontId="0" fillId="0" borderId="13" xfId="0" applyNumberFormat="1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4" fillId="0" borderId="13" xfId="0" applyFont="1" applyFill="1" applyBorder="1" applyAlignment="1" applyProtection="1">
      <alignment horizontal="center"/>
      <protection hidden="1"/>
    </xf>
    <xf numFmtId="0" fontId="0" fillId="0" borderId="35" xfId="0" applyFill="1" applyBorder="1" applyProtection="1">
      <protection hidden="1"/>
    </xf>
    <xf numFmtId="0" fontId="0" fillId="0" borderId="33" xfId="0" applyFill="1" applyBorder="1" applyAlignment="1" applyProtection="1">
      <alignment horizontal="center"/>
      <protection hidden="1"/>
    </xf>
    <xf numFmtId="0" fontId="0" fillId="0" borderId="34" xfId="0" applyFill="1" applyBorder="1" applyAlignment="1" applyProtection="1">
      <alignment horizontal="center"/>
      <protection hidden="1"/>
    </xf>
    <xf numFmtId="0" fontId="4" fillId="0" borderId="33" xfId="0" applyFont="1" applyFill="1" applyBorder="1" applyAlignment="1" applyProtection="1">
      <alignment horizontal="center"/>
      <protection hidden="1"/>
    </xf>
    <xf numFmtId="0" fontId="0" fillId="0" borderId="46" xfId="0" applyFill="1" applyBorder="1" applyProtection="1">
      <protection hidden="1"/>
    </xf>
    <xf numFmtId="0" fontId="0" fillId="0" borderId="47" xfId="0" applyFill="1" applyBorder="1" applyAlignment="1" applyProtection="1">
      <alignment horizontal="center"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46" xfId="0" applyFill="1" applyBorder="1" applyAlignment="1" applyProtection="1">
      <alignment horizontal="center"/>
      <protection hidden="1"/>
    </xf>
    <xf numFmtId="0" fontId="4" fillId="0" borderId="47" xfId="0" applyFont="1" applyFill="1" applyBorder="1" applyAlignment="1" applyProtection="1">
      <alignment horizontal="center"/>
      <protection hidden="1"/>
    </xf>
    <xf numFmtId="0" fontId="14" fillId="0" borderId="47" xfId="0" applyFont="1" applyFill="1" applyBorder="1" applyAlignment="1" applyProtection="1">
      <alignment horizontal="center"/>
      <protection hidden="1"/>
    </xf>
    <xf numFmtId="0" fontId="19" fillId="0" borderId="14" xfId="1" applyFill="1" applyBorder="1" applyAlignment="1" applyProtection="1">
      <alignment horizontal="center" wrapText="1"/>
      <protection hidden="1"/>
    </xf>
    <xf numFmtId="0" fontId="19" fillId="0" borderId="12" xfId="1" applyFill="1" applyBorder="1" applyAlignment="1" applyProtection="1">
      <alignment horizontal="center" wrapText="1"/>
      <protection hidden="1"/>
    </xf>
    <xf numFmtId="0" fontId="14" fillId="0" borderId="13" xfId="0" applyFont="1" applyFill="1" applyBorder="1" applyAlignment="1" applyProtection="1">
      <alignment horizontal="center"/>
      <protection hidden="1"/>
    </xf>
    <xf numFmtId="0" fontId="19" fillId="0" borderId="34" xfId="1" applyFill="1" applyBorder="1" applyAlignment="1" applyProtection="1">
      <alignment horizontal="center" wrapText="1"/>
      <protection hidden="1"/>
    </xf>
    <xf numFmtId="0" fontId="19" fillId="0" borderId="35" xfId="1" applyFill="1" applyBorder="1" applyAlignment="1" applyProtection="1">
      <alignment horizontal="center" wrapText="1"/>
      <protection hidden="1"/>
    </xf>
    <xf numFmtId="0" fontId="14" fillId="0" borderId="33" xfId="0" applyFont="1" applyFill="1" applyBorder="1" applyAlignment="1" applyProtection="1">
      <alignment horizontal="center"/>
      <protection hidden="1"/>
    </xf>
    <xf numFmtId="0" fontId="19" fillId="0" borderId="1" xfId="1" applyFill="1" applyBorder="1" applyAlignment="1" applyProtection="1">
      <alignment horizontal="center" wrapText="1"/>
      <protection hidden="1"/>
    </xf>
    <xf numFmtId="0" fontId="0" fillId="0" borderId="35" xfId="0" applyFill="1" applyBorder="1" applyAlignment="1" applyProtection="1">
      <alignment horizontal="center"/>
      <protection hidden="1"/>
    </xf>
    <xf numFmtId="0" fontId="4" fillId="0" borderId="25" xfId="0" applyFont="1" applyFill="1" applyBorder="1" applyAlignment="1" applyProtection="1">
      <alignment horizontal="center"/>
      <protection hidden="1"/>
    </xf>
    <xf numFmtId="0" fontId="14" fillId="0" borderId="46" xfId="0" applyFont="1" applyFill="1" applyBorder="1" applyAlignment="1" applyProtection="1">
      <alignment horizontal="center"/>
      <protection hidden="1"/>
    </xf>
    <xf numFmtId="0" fontId="53" fillId="0" borderId="13" xfId="0" applyFont="1" applyFill="1" applyBorder="1" applyAlignment="1" applyProtection="1">
      <alignment horizontal="center"/>
      <protection hidden="1"/>
    </xf>
    <xf numFmtId="0" fontId="1" fillId="0" borderId="13" xfId="0" applyFont="1" applyFill="1" applyBorder="1" applyAlignment="1" applyProtection="1">
      <alignment horizontal="center"/>
      <protection hidden="1"/>
    </xf>
    <xf numFmtId="0" fontId="35" fillId="0" borderId="13" xfId="0" applyFont="1" applyFill="1" applyBorder="1" applyAlignment="1" applyProtection="1">
      <alignment horizontal="center"/>
      <protection hidden="1"/>
    </xf>
    <xf numFmtId="0" fontId="87" fillId="8" borderId="13" xfId="0" applyFont="1" applyFill="1" applyBorder="1" applyAlignment="1" applyProtection="1">
      <alignment horizontal="center"/>
      <protection hidden="1"/>
    </xf>
    <xf numFmtId="0" fontId="0" fillId="8" borderId="13" xfId="0" applyFill="1" applyBorder="1" applyAlignment="1" applyProtection="1">
      <alignment horizontal="center"/>
      <protection hidden="1"/>
    </xf>
    <xf numFmtId="0" fontId="0" fillId="8" borderId="47" xfId="0" applyFill="1" applyBorder="1" applyAlignment="1" applyProtection="1">
      <alignment horizontal="center"/>
      <protection hidden="1"/>
    </xf>
    <xf numFmtId="0" fontId="0" fillId="8" borderId="0" xfId="0" applyFill="1" applyProtection="1">
      <protection hidden="1"/>
    </xf>
    <xf numFmtId="0" fontId="87" fillId="0" borderId="18" xfId="0" applyFont="1" applyBorder="1" applyAlignment="1" applyProtection="1">
      <alignment horizontal="center" vertical="center"/>
      <protection hidden="1"/>
    </xf>
    <xf numFmtId="0" fontId="87" fillId="0" borderId="112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textRotation="90" wrapText="1"/>
      <protection hidden="1"/>
    </xf>
    <xf numFmtId="0" fontId="15" fillId="0" borderId="113" xfId="0" applyFont="1" applyBorder="1" applyAlignment="1" applyProtection="1">
      <alignment horizontal="center" wrapText="1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15" fillId="3" borderId="0" xfId="0" applyFont="1" applyFill="1" applyAlignment="1" applyProtection="1">
      <alignment horizontal="center"/>
      <protection hidden="1"/>
    </xf>
    <xf numFmtId="0" fontId="11" fillId="3" borderId="75" xfId="0" applyFont="1" applyFill="1" applyBorder="1" applyAlignment="1" applyProtection="1">
      <alignment horizontal="center"/>
      <protection hidden="1"/>
    </xf>
    <xf numFmtId="0" fontId="0" fillId="0" borderId="86" xfId="0" applyFill="1" applyBorder="1" applyAlignment="1" applyProtection="1">
      <alignment horizontal="center"/>
      <protection hidden="1"/>
    </xf>
    <xf numFmtId="2" fontId="11" fillId="3" borderId="78" xfId="0" applyNumberFormat="1" applyFont="1" applyFill="1" applyBorder="1" applyAlignment="1" applyProtection="1">
      <alignment horizontal="center"/>
      <protection hidden="1"/>
    </xf>
    <xf numFmtId="2" fontId="11" fillId="3" borderId="114" xfId="0" applyNumberFormat="1" applyFont="1" applyFill="1" applyBorder="1" applyAlignment="1" applyProtection="1">
      <alignment horizontal="center"/>
      <protection hidden="1"/>
    </xf>
    <xf numFmtId="0" fontId="11" fillId="0" borderId="10" xfId="0" applyFont="1" applyBorder="1" applyProtection="1">
      <protection hidden="1"/>
    </xf>
    <xf numFmtId="0" fontId="0" fillId="0" borderId="11" xfId="0" applyBorder="1" applyProtection="1">
      <protection hidden="1"/>
    </xf>
    <xf numFmtId="0" fontId="15" fillId="0" borderId="10" xfId="0" applyFont="1" applyBorder="1" applyProtection="1">
      <protection hidden="1"/>
    </xf>
    <xf numFmtId="0" fontId="15" fillId="0" borderId="11" xfId="0" applyFont="1" applyBorder="1" applyProtection="1">
      <protection hidden="1"/>
    </xf>
    <xf numFmtId="0" fontId="11" fillId="0" borderId="11" xfId="0" applyFont="1" applyBorder="1" applyProtection="1">
      <protection hidden="1"/>
    </xf>
    <xf numFmtId="0" fontId="4" fillId="0" borderId="11" xfId="0" applyFont="1" applyBorder="1" applyProtection="1">
      <protection hidden="1"/>
    </xf>
    <xf numFmtId="0" fontId="4" fillId="0" borderId="31" xfId="0" applyFont="1" applyBorder="1" applyProtection="1">
      <protection hidden="1"/>
    </xf>
    <xf numFmtId="0" fontId="11" fillId="0" borderId="11" xfId="0" applyFont="1" applyBorder="1" applyProtection="1">
      <protection hidden="1"/>
    </xf>
    <xf numFmtId="2" fontId="15" fillId="0" borderId="11" xfId="0" applyNumberFormat="1" applyFont="1" applyBorder="1" applyProtection="1">
      <protection hidden="1"/>
    </xf>
    <xf numFmtId="0" fontId="1" fillId="0" borderId="11" xfId="0" applyFont="1" applyBorder="1" applyProtection="1">
      <protection hidden="1"/>
    </xf>
    <xf numFmtId="0" fontId="4" fillId="0" borderId="60" xfId="0" applyFont="1" applyBorder="1" applyProtection="1">
      <protection hidden="1"/>
    </xf>
    <xf numFmtId="9" fontId="15" fillId="0" borderId="11" xfId="0" applyNumberFormat="1" applyFont="1" applyBorder="1" applyAlignment="1" applyProtection="1">
      <alignment horizontal="center"/>
      <protection hidden="1"/>
    </xf>
    <xf numFmtId="9" fontId="0" fillId="0" borderId="60" xfId="0" applyNumberFormat="1" applyBorder="1" applyAlignment="1" applyProtection="1">
      <alignment horizontal="center"/>
      <protection hidden="1"/>
    </xf>
    <xf numFmtId="0" fontId="1" fillId="0" borderId="97" xfId="0" applyFont="1" applyBorder="1" applyProtection="1">
      <protection hidden="1"/>
    </xf>
    <xf numFmtId="0" fontId="1" fillId="0" borderId="21" xfId="0" applyFont="1" applyBorder="1" applyProtection="1">
      <protection hidden="1"/>
    </xf>
    <xf numFmtId="0" fontId="4" fillId="0" borderId="21" xfId="0" applyFont="1" applyBorder="1" applyAlignment="1" applyProtection="1">
      <alignment horizontal="center"/>
      <protection hidden="1"/>
    </xf>
    <xf numFmtId="0" fontId="4" fillId="0" borderId="21" xfId="0" applyFont="1" applyBorder="1" applyProtection="1">
      <protection hidden="1"/>
    </xf>
    <xf numFmtId="0" fontId="4" fillId="0" borderId="96" xfId="0" applyFont="1" applyBorder="1" applyProtection="1">
      <protection hidden="1"/>
    </xf>
    <xf numFmtId="1" fontId="11" fillId="6" borderId="13" xfId="0" applyNumberFormat="1" applyFont="1" applyFill="1" applyBorder="1" applyAlignment="1" applyProtection="1">
      <alignment horizontal="center"/>
      <protection locked="0" hidden="1"/>
    </xf>
    <xf numFmtId="0" fontId="4" fillId="0" borderId="16" xfId="0" applyFont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101" fillId="0" borderId="0" xfId="0" applyFont="1" applyFill="1"/>
    <xf numFmtId="0" fontId="90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79" xfId="0" applyFill="1" applyBorder="1" applyAlignment="1" applyProtection="1">
      <alignment horizontal="center"/>
      <protection hidden="1"/>
    </xf>
    <xf numFmtId="0" fontId="0" fillId="0" borderId="11" xfId="0" applyFill="1" applyBorder="1" applyProtection="1">
      <protection hidden="1"/>
    </xf>
    <xf numFmtId="0" fontId="16" fillId="0" borderId="2" xfId="0" applyFont="1" applyFill="1" applyBorder="1" applyProtection="1">
      <protection hidden="1"/>
    </xf>
    <xf numFmtId="0" fontId="16" fillId="0" borderId="41" xfId="0" applyFont="1" applyFill="1" applyBorder="1" applyProtection="1">
      <protection hidden="1"/>
    </xf>
    <xf numFmtId="0" fontId="11" fillId="0" borderId="11" xfId="0" applyFont="1" applyFill="1" applyBorder="1" applyProtection="1">
      <protection hidden="1"/>
    </xf>
    <xf numFmtId="0" fontId="19" fillId="8" borderId="42" xfId="2" applyFill="1" applyBorder="1" applyAlignment="1" applyProtection="1">
      <alignment horizontal="left" wrapText="1"/>
      <protection hidden="1"/>
    </xf>
    <xf numFmtId="0" fontId="0" fillId="8" borderId="12" xfId="0" applyFill="1" applyBorder="1" applyProtection="1">
      <protection hidden="1"/>
    </xf>
    <xf numFmtId="0" fontId="0" fillId="8" borderId="14" xfId="0" applyFill="1" applyBorder="1" applyAlignment="1" applyProtection="1">
      <alignment horizontal="center"/>
      <protection hidden="1"/>
    </xf>
    <xf numFmtId="0" fontId="0" fillId="8" borderId="12" xfId="0" applyFill="1" applyBorder="1" applyAlignment="1" applyProtection="1">
      <alignment horizontal="center"/>
      <protection hidden="1"/>
    </xf>
    <xf numFmtId="0" fontId="4" fillId="8" borderId="13" xfId="0" applyFont="1" applyFill="1" applyBorder="1" applyAlignment="1" applyProtection="1">
      <alignment horizontal="center"/>
      <protection hidden="1"/>
    </xf>
    <xf numFmtId="0" fontId="87" fillId="8" borderId="22" xfId="0" applyFont="1" applyFill="1" applyBorder="1" applyAlignment="1" applyProtection="1">
      <alignment horizontal="center" vertical="center"/>
      <protection hidden="1"/>
    </xf>
    <xf numFmtId="0" fontId="0" fillId="8" borderId="42" xfId="0" applyFill="1" applyBorder="1" applyProtection="1">
      <protection hidden="1"/>
    </xf>
    <xf numFmtId="0" fontId="4" fillId="8" borderId="42" xfId="0" applyFont="1" applyFill="1" applyBorder="1" applyProtection="1">
      <protection hidden="1"/>
    </xf>
    <xf numFmtId="0" fontId="19" fillId="8" borderId="43" xfId="1" applyFill="1" applyBorder="1" applyAlignment="1" applyProtection="1">
      <alignment horizontal="left" wrapText="1"/>
      <protection hidden="1"/>
    </xf>
    <xf numFmtId="0" fontId="4" fillId="8" borderId="44" xfId="0" applyFont="1" applyFill="1" applyBorder="1" applyProtection="1">
      <protection hidden="1"/>
    </xf>
    <xf numFmtId="0" fontId="0" fillId="8" borderId="35" xfId="0" applyFill="1" applyBorder="1" applyProtection="1">
      <protection hidden="1"/>
    </xf>
    <xf numFmtId="0" fontId="0" fillId="8" borderId="33" xfId="0" applyFill="1" applyBorder="1" applyAlignment="1" applyProtection="1">
      <alignment horizontal="center"/>
      <protection hidden="1"/>
    </xf>
    <xf numFmtId="0" fontId="0" fillId="8" borderId="34" xfId="0" applyFill="1" applyBorder="1" applyAlignment="1" applyProtection="1">
      <alignment horizontal="center"/>
      <protection hidden="1"/>
    </xf>
    <xf numFmtId="0" fontId="21" fillId="8" borderId="35" xfId="0" applyFont="1" applyFill="1" applyBorder="1" applyAlignment="1" applyProtection="1">
      <alignment horizontal="center"/>
      <protection hidden="1"/>
    </xf>
    <xf numFmtId="0" fontId="4" fillId="8" borderId="33" xfId="0" applyFont="1" applyFill="1" applyBorder="1" applyAlignment="1" applyProtection="1">
      <alignment horizontal="center"/>
      <protection hidden="1"/>
    </xf>
    <xf numFmtId="0" fontId="87" fillId="8" borderId="18" xfId="0" applyFont="1" applyFill="1" applyBorder="1" applyAlignment="1" applyProtection="1">
      <alignment horizontal="center" vertical="center"/>
      <protection hidden="1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1" fillId="0" borderId="62" xfId="0" applyFont="1" applyBorder="1" applyAlignment="1" applyProtection="1">
      <protection locked="0"/>
    </xf>
    <xf numFmtId="0" fontId="0" fillId="0" borderId="62" xfId="0" applyBorder="1" applyAlignment="1" applyProtection="1">
      <protection locked="0"/>
    </xf>
    <xf numFmtId="0" fontId="11" fillId="0" borderId="99" xfId="0" applyFont="1" applyBorder="1" applyAlignment="1" applyProtection="1">
      <protection locked="0"/>
    </xf>
    <xf numFmtId="0" fontId="11" fillId="0" borderId="16" xfId="0" applyFont="1" applyBorder="1" applyAlignment="1" applyProtection="1">
      <protection locked="0"/>
    </xf>
    <xf numFmtId="2" fontId="11" fillId="0" borderId="2" xfId="0" applyNumberFormat="1" applyFont="1" applyFill="1" applyBorder="1" applyAlignment="1" applyProtection="1">
      <alignment horizontal="center"/>
      <protection hidden="1"/>
    </xf>
    <xf numFmtId="1" fontId="11" fillId="0" borderId="2" xfId="0" applyNumberFormat="1" applyFont="1" applyFill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left"/>
      <protection hidden="1"/>
    </xf>
    <xf numFmtId="0" fontId="11" fillId="0" borderId="11" xfId="0" applyFont="1" applyBorder="1" applyAlignment="1" applyProtection="1">
      <alignment horizontal="left"/>
      <protection hidden="1"/>
    </xf>
    <xf numFmtId="0" fontId="14" fillId="0" borderId="7" xfId="0" applyFont="1" applyBorder="1" applyProtection="1">
      <protection hidden="1"/>
    </xf>
    <xf numFmtId="0" fontId="0" fillId="0" borderId="7" xfId="0" applyBorder="1" applyProtection="1"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8" fillId="0" borderId="9" xfId="0" applyFont="1" applyBorder="1" applyProtection="1">
      <protection hidden="1"/>
    </xf>
    <xf numFmtId="0" fontId="23" fillId="0" borderId="0" xfId="0" applyFont="1" applyProtection="1">
      <protection hidden="1"/>
    </xf>
    <xf numFmtId="0" fontId="0" fillId="0" borderId="0" xfId="0" applyProtection="1"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50" xfId="0" applyFont="1" applyBorder="1" applyProtection="1">
      <protection hidden="1"/>
    </xf>
    <xf numFmtId="0" fontId="11" fillId="0" borderId="24" xfId="0" applyFont="1" applyBorder="1" applyAlignment="1" applyProtection="1">
      <alignment horizontal="left"/>
      <protection hidden="1"/>
    </xf>
    <xf numFmtId="0" fontId="11" fillId="0" borderId="2" xfId="0" applyFont="1" applyBorder="1" applyAlignment="1" applyProtection="1">
      <alignment horizontal="left"/>
      <protection hidden="1"/>
    </xf>
    <xf numFmtId="0" fontId="11" fillId="0" borderId="60" xfId="0" applyFont="1" applyBorder="1" applyAlignment="1" applyProtection="1">
      <alignment horizontal="left"/>
      <protection hidden="1"/>
    </xf>
    <xf numFmtId="0" fontId="11" fillId="0" borderId="21" xfId="0" applyFont="1" applyBorder="1" applyAlignment="1" applyProtection="1">
      <protection locked="0"/>
    </xf>
    <xf numFmtId="164" fontId="11" fillId="2" borderId="2" xfId="0" applyNumberFormat="1" applyFont="1" applyFill="1" applyBorder="1" applyAlignment="1" applyProtection="1">
      <alignment horizontal="center"/>
      <protection hidden="1"/>
    </xf>
    <xf numFmtId="164" fontId="11" fillId="2" borderId="101" xfId="0" applyNumberFormat="1" applyFont="1" applyFill="1" applyBorder="1" applyAlignment="1" applyProtection="1">
      <alignment horizontal="center"/>
      <protection hidden="1"/>
    </xf>
    <xf numFmtId="0" fontId="25" fillId="0" borderId="49" xfId="0" applyFont="1" applyBorder="1" applyAlignment="1" applyProtection="1">
      <alignment wrapText="1"/>
      <protection hidden="1"/>
    </xf>
    <xf numFmtId="0" fontId="25" fillId="0" borderId="50" xfId="0" applyFont="1" applyBorder="1" applyAlignment="1" applyProtection="1">
      <alignment wrapText="1"/>
      <protection hidden="1"/>
    </xf>
    <xf numFmtId="0" fontId="11" fillId="0" borderId="76" xfId="0" applyFont="1" applyBorder="1" applyAlignment="1" applyProtection="1">
      <alignment horizontal="center" textRotation="90" wrapText="1"/>
      <protection hidden="1"/>
    </xf>
    <xf numFmtId="0" fontId="11" fillId="0" borderId="52" xfId="0" applyFont="1" applyBorder="1" applyAlignment="1" applyProtection="1">
      <alignment horizontal="center" textRotation="90" wrapText="1"/>
      <protection hidden="1"/>
    </xf>
    <xf numFmtId="0" fontId="11" fillId="8" borderId="13" xfId="0" applyFont="1" applyFill="1" applyBorder="1" applyAlignment="1" applyProtection="1">
      <alignment horizontal="center"/>
      <protection hidden="1"/>
    </xf>
    <xf numFmtId="0" fontId="11" fillId="8" borderId="33" xfId="0" applyFont="1" applyFill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protection hidden="1"/>
    </xf>
    <xf numFmtId="0" fontId="11" fillId="0" borderId="11" xfId="0" applyFont="1" applyBorder="1" applyAlignment="1" applyProtection="1">
      <protection hidden="1"/>
    </xf>
    <xf numFmtId="0" fontId="11" fillId="0" borderId="97" xfId="0" applyFont="1" applyBorder="1" applyAlignment="1" applyProtection="1">
      <protection hidden="1"/>
    </xf>
    <xf numFmtId="0" fontId="11" fillId="0" borderId="21" xfId="0" applyFont="1" applyBorder="1" applyAlignment="1" applyProtection="1">
      <protection hidden="1"/>
    </xf>
    <xf numFmtId="0" fontId="11" fillId="0" borderId="39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164" fontId="11" fillId="0" borderId="0" xfId="0" applyNumberFormat="1" applyFont="1" applyProtection="1">
      <protection hidden="1"/>
    </xf>
    <xf numFmtId="14" fontId="8" fillId="0" borderId="0" xfId="0" applyNumberFormat="1" applyFont="1" applyProtection="1">
      <protection hidden="1"/>
    </xf>
    <xf numFmtId="0" fontId="4" fillId="0" borderId="0" xfId="0" applyFont="1" applyBorder="1" applyProtection="1">
      <protection hidden="1"/>
    </xf>
    <xf numFmtId="0" fontId="11" fillId="6" borderId="24" xfId="0" applyFont="1" applyFill="1" applyBorder="1" applyProtection="1">
      <protection locked="0" hidden="1"/>
    </xf>
    <xf numFmtId="14" fontId="11" fillId="6" borderId="39" xfId="0" applyNumberFormat="1" applyFont="1" applyFill="1" applyBorder="1" applyProtection="1">
      <protection locked="0" hidden="1"/>
    </xf>
    <xf numFmtId="0" fontId="11" fillId="6" borderId="39" xfId="0" applyFont="1" applyFill="1" applyBorder="1" applyProtection="1">
      <protection locked="0" hidden="1"/>
    </xf>
    <xf numFmtId="0" fontId="11" fillId="6" borderId="40" xfId="0" applyFont="1" applyFill="1" applyBorder="1" applyAlignment="1" applyProtection="1">
      <alignment horizontal="center"/>
      <protection locked="0" hidden="1"/>
    </xf>
    <xf numFmtId="0" fontId="11" fillId="6" borderId="47" xfId="0" applyFont="1" applyFill="1" applyBorder="1" applyProtection="1">
      <protection locked="0" hidden="1"/>
    </xf>
    <xf numFmtId="0" fontId="11" fillId="6" borderId="46" xfId="0" applyFont="1" applyFill="1" applyBorder="1" applyProtection="1">
      <protection locked="0" hidden="1"/>
    </xf>
    <xf numFmtId="0" fontId="11" fillId="6" borderId="13" xfId="0" applyFont="1" applyFill="1" applyBorder="1" applyProtection="1">
      <protection locked="0" hidden="1"/>
    </xf>
    <xf numFmtId="0" fontId="11" fillId="6" borderId="13" xfId="0" applyFont="1" applyFill="1" applyBorder="1" applyAlignment="1" applyProtection="1">
      <alignment horizontal="center"/>
      <protection locked="0" hidden="1"/>
    </xf>
    <xf numFmtId="14" fontId="11" fillId="6" borderId="13" xfId="0" applyNumberFormat="1" applyFont="1" applyFill="1" applyBorder="1" applyProtection="1">
      <protection locked="0" hidden="1"/>
    </xf>
    <xf numFmtId="0" fontId="11" fillId="6" borderId="10" xfId="0" applyFont="1" applyFill="1" applyBorder="1" applyProtection="1">
      <protection locked="0" hidden="1"/>
    </xf>
    <xf numFmtId="0" fontId="11" fillId="6" borderId="39" xfId="0" applyFont="1" applyFill="1" applyBorder="1" applyAlignment="1" applyProtection="1">
      <alignment horizontal="right"/>
      <protection locked="0" hidden="1"/>
    </xf>
    <xf numFmtId="0" fontId="11" fillId="6" borderId="47" xfId="0" applyFont="1" applyFill="1" applyBorder="1" applyAlignment="1" applyProtection="1">
      <alignment horizontal="right"/>
      <protection locked="0" hidden="1"/>
    </xf>
    <xf numFmtId="0" fontId="11" fillId="6" borderId="13" xfId="0" applyFont="1" applyFill="1" applyBorder="1" applyAlignment="1" applyProtection="1">
      <alignment horizontal="right"/>
      <protection locked="0" hidden="1"/>
    </xf>
    <xf numFmtId="0" fontId="0" fillId="6" borderId="13" xfId="0" applyFill="1" applyBorder="1" applyAlignment="1" applyProtection="1">
      <alignment horizontal="right"/>
      <protection locked="0" hidden="1"/>
    </xf>
    <xf numFmtId="0" fontId="11" fillId="6" borderId="33" xfId="0" applyFont="1" applyFill="1" applyBorder="1" applyProtection="1">
      <protection locked="0" hidden="1"/>
    </xf>
    <xf numFmtId="0" fontId="11" fillId="6" borderId="33" xfId="0" applyFont="1" applyFill="1" applyBorder="1" applyAlignment="1" applyProtection="1">
      <alignment horizontal="center"/>
      <protection locked="0" hidden="1"/>
    </xf>
    <xf numFmtId="0" fontId="11" fillId="6" borderId="23" xfId="0" applyFont="1" applyFill="1" applyBorder="1" applyProtection="1">
      <protection locked="0" hidden="1"/>
    </xf>
    <xf numFmtId="0" fontId="11" fillId="6" borderId="17" xfId="0" applyFont="1" applyFill="1" applyBorder="1" applyProtection="1">
      <protection locked="0" hidden="1"/>
    </xf>
    <xf numFmtId="0" fontId="11" fillId="6" borderId="17" xfId="0" applyFont="1" applyFill="1" applyBorder="1" applyAlignment="1" applyProtection="1">
      <alignment horizontal="center"/>
      <protection locked="0" hidden="1"/>
    </xf>
    <xf numFmtId="0" fontId="11" fillId="6" borderId="35" xfId="0" applyFont="1" applyFill="1" applyBorder="1" applyProtection="1">
      <protection locked="0" hidden="1"/>
    </xf>
    <xf numFmtId="0" fontId="11" fillId="6" borderId="47" xfId="0" applyFont="1" applyFill="1" applyBorder="1" applyAlignment="1" applyProtection="1">
      <alignment horizontal="center"/>
      <protection locked="0" hidden="1"/>
    </xf>
    <xf numFmtId="0" fontId="11" fillId="6" borderId="39" xfId="0" applyFont="1" applyFill="1" applyBorder="1" applyAlignment="1" applyProtection="1">
      <alignment horizontal="center"/>
      <protection locked="0" hidden="1"/>
    </xf>
    <xf numFmtId="0" fontId="11" fillId="0" borderId="11" xfId="0" applyFont="1" applyBorder="1" applyProtection="1">
      <protection hidden="1"/>
    </xf>
    <xf numFmtId="164" fontId="11" fillId="2" borderId="111" xfId="0" applyNumberFormat="1" applyFont="1" applyFill="1" applyBorder="1" applyAlignment="1" applyProtection="1">
      <alignment horizontal="center"/>
      <protection hidden="1"/>
    </xf>
    <xf numFmtId="14" fontId="11" fillId="6" borderId="39" xfId="0" applyNumberFormat="1" applyFont="1" applyFill="1" applyBorder="1" applyAlignment="1" applyProtection="1">
      <alignment horizontal="right"/>
      <protection locked="0" hidden="1"/>
    </xf>
    <xf numFmtId="0" fontId="11" fillId="6" borderId="33" xfId="0" applyFont="1" applyFill="1" applyBorder="1" applyAlignment="1" applyProtection="1">
      <alignment horizontal="right"/>
      <protection locked="0" hidden="1"/>
    </xf>
    <xf numFmtId="0" fontId="11" fillId="6" borderId="23" xfId="0" applyFont="1" applyFill="1" applyBorder="1" applyAlignment="1" applyProtection="1">
      <alignment horizontal="right"/>
      <protection locked="0" hidden="1"/>
    </xf>
    <xf numFmtId="0" fontId="11" fillId="6" borderId="17" xfId="0" applyFont="1" applyFill="1" applyBorder="1" applyAlignment="1" applyProtection="1">
      <alignment horizontal="right"/>
      <protection locked="0" hidden="1"/>
    </xf>
    <xf numFmtId="14" fontId="11" fillId="6" borderId="13" xfId="0" applyNumberFormat="1" applyFont="1" applyFill="1" applyBorder="1" applyAlignment="1" applyProtection="1">
      <alignment horizontal="right"/>
      <protection locked="0" hidden="1"/>
    </xf>
    <xf numFmtId="0" fontId="26" fillId="0" borderId="47" xfId="0" applyFont="1" applyBorder="1" applyAlignment="1" applyProtection="1">
      <alignment horizontal="center" vertical="center" wrapText="1"/>
      <protection hidden="1"/>
    </xf>
    <xf numFmtId="0" fontId="26" fillId="0" borderId="26" xfId="0" applyFont="1" applyBorder="1" applyAlignment="1" applyProtection="1">
      <alignment horizontal="center" vertical="center" wrapText="1"/>
      <protection hidden="1"/>
    </xf>
    <xf numFmtId="0" fontId="11" fillId="5" borderId="115" xfId="0" applyFont="1" applyFill="1" applyBorder="1" applyAlignment="1" applyProtection="1">
      <alignment vertical="center"/>
      <protection locked="0" hidden="1"/>
    </xf>
    <xf numFmtId="0" fontId="11" fillId="5" borderId="116" xfId="0" applyFont="1" applyFill="1" applyBorder="1" applyAlignment="1" applyProtection="1">
      <alignment vertical="center"/>
      <protection locked="0" hidden="1"/>
    </xf>
    <xf numFmtId="0" fontId="93" fillId="0" borderId="0" xfId="0" applyFont="1" applyAlignment="1" applyProtection="1">
      <alignment horizontal="right"/>
      <protection hidden="1"/>
    </xf>
    <xf numFmtId="0" fontId="75" fillId="0" borderId="19" xfId="0" applyFont="1" applyBorder="1" applyAlignment="1" applyProtection="1">
      <alignment horizontal="center" vertical="center" textRotation="90"/>
      <protection hidden="1"/>
    </xf>
    <xf numFmtId="0" fontId="75" fillId="0" borderId="5" xfId="0" applyFont="1" applyBorder="1" applyAlignment="1">
      <alignment horizontal="center" textRotation="90"/>
    </xf>
    <xf numFmtId="0" fontId="75" fillId="0" borderId="27" xfId="0" applyFont="1" applyBorder="1" applyAlignment="1">
      <alignment horizontal="center" textRotation="90"/>
    </xf>
    <xf numFmtId="0" fontId="11" fillId="0" borderId="10" xfId="0" applyFont="1" applyBorder="1" applyProtection="1">
      <protection hidden="1"/>
    </xf>
    <xf numFmtId="0" fontId="11" fillId="0" borderId="11" xfId="0" applyFont="1" applyBorder="1" applyProtection="1">
      <protection hidden="1"/>
    </xf>
    <xf numFmtId="0" fontId="0" fillId="0" borderId="11" xfId="0" applyBorder="1" applyProtection="1">
      <protection hidden="1"/>
    </xf>
    <xf numFmtId="0" fontId="11" fillId="0" borderId="117" xfId="0" applyFont="1" applyBorder="1" applyAlignment="1" applyProtection="1">
      <alignment horizontal="left" wrapText="1"/>
      <protection hidden="1"/>
    </xf>
    <xf numFmtId="0" fontId="0" fillId="0" borderId="118" xfId="0" applyBorder="1"/>
    <xf numFmtId="0" fontId="11" fillId="0" borderId="91" xfId="0" applyFont="1" applyBorder="1" applyAlignment="1" applyProtection="1">
      <alignment vertical="center" wrapText="1"/>
      <protection hidden="1"/>
    </xf>
    <xf numFmtId="0" fontId="0" fillId="0" borderId="92" xfId="0" applyBorder="1"/>
    <xf numFmtId="0" fontId="11" fillId="5" borderId="119" xfId="0" applyFont="1" applyFill="1" applyBorder="1" applyAlignment="1" applyProtection="1">
      <alignment vertical="center"/>
      <protection locked="0" hidden="1"/>
    </xf>
    <xf numFmtId="0" fontId="11" fillId="5" borderId="120" xfId="0" applyFont="1" applyFill="1" applyBorder="1" applyAlignment="1" applyProtection="1">
      <alignment vertical="center"/>
      <protection locked="0" hidden="1"/>
    </xf>
    <xf numFmtId="0" fontId="11" fillId="5" borderId="117" xfId="0" applyFont="1" applyFill="1" applyBorder="1" applyAlignment="1" applyProtection="1">
      <alignment vertical="center"/>
      <protection locked="0" hidden="1"/>
    </xf>
    <xf numFmtId="0" fontId="4" fillId="0" borderId="121" xfId="0" applyFont="1" applyBorder="1" applyAlignment="1">
      <alignment vertical="center"/>
    </xf>
    <xf numFmtId="0" fontId="4" fillId="0" borderId="121" xfId="0" applyFont="1" applyBorder="1"/>
    <xf numFmtId="0" fontId="46" fillId="5" borderId="121" xfId="0" applyFont="1" applyFill="1" applyBorder="1" applyAlignment="1" applyProtection="1">
      <alignment horizontal="center" vertical="center"/>
      <protection locked="0" hidden="1"/>
    </xf>
    <xf numFmtId="0" fontId="46" fillId="5" borderId="122" xfId="0" applyFont="1" applyFill="1" applyBorder="1" applyAlignment="1" applyProtection="1">
      <alignment horizontal="center" vertical="center"/>
      <protection locked="0" hidden="1"/>
    </xf>
    <xf numFmtId="0" fontId="4" fillId="0" borderId="55" xfId="0" applyFont="1" applyBorder="1" applyAlignment="1" applyProtection="1">
      <alignment vertical="center"/>
      <protection hidden="1"/>
    </xf>
    <xf numFmtId="0" fontId="11" fillId="5" borderId="121" xfId="0" applyFont="1" applyFill="1" applyBorder="1" applyAlignment="1" applyProtection="1">
      <alignment vertical="center" wrapText="1"/>
      <protection locked="0" hidden="1"/>
    </xf>
    <xf numFmtId="0" fontId="0" fillId="5" borderId="121" xfId="0" applyFill="1" applyBorder="1" applyAlignment="1" applyProtection="1">
      <alignment vertical="center"/>
      <protection locked="0" hidden="1"/>
    </xf>
    <xf numFmtId="0" fontId="0" fillId="5" borderId="122" xfId="0" applyFill="1" applyBorder="1" applyAlignment="1" applyProtection="1">
      <alignment vertical="center"/>
      <protection locked="0" hidden="1"/>
    </xf>
    <xf numFmtId="0" fontId="11" fillId="5" borderId="92" xfId="0" applyFont="1" applyFill="1" applyBorder="1" applyAlignment="1" applyProtection="1">
      <alignment vertical="center" wrapText="1"/>
      <protection locked="0" hidden="1"/>
    </xf>
    <xf numFmtId="0" fontId="11" fillId="5" borderId="92" xfId="0" applyFont="1" applyFill="1" applyBorder="1" applyProtection="1">
      <protection locked="0" hidden="1"/>
    </xf>
    <xf numFmtId="0" fontId="11" fillId="5" borderId="90" xfId="0" applyFont="1" applyFill="1" applyBorder="1" applyProtection="1">
      <protection locked="0" hidden="1"/>
    </xf>
    <xf numFmtId="0" fontId="11" fillId="0" borderId="5" xfId="0" applyFont="1" applyBorder="1" applyAlignment="1" applyProtection="1">
      <alignment vertical="center" wrapText="1"/>
      <protection hidden="1"/>
    </xf>
    <xf numFmtId="0" fontId="0" fillId="0" borderId="123" xfId="0" applyBorder="1" applyAlignment="1">
      <alignment vertical="center"/>
    </xf>
    <xf numFmtId="0" fontId="11" fillId="5" borderId="92" xfId="0" applyFont="1" applyFill="1" applyBorder="1" applyAlignment="1" applyProtection="1">
      <alignment horizontal="center" vertical="center"/>
      <protection locked="0" hidden="1"/>
    </xf>
    <xf numFmtId="0" fontId="11" fillId="5" borderId="90" xfId="0" applyFont="1" applyFill="1" applyBorder="1" applyAlignment="1" applyProtection="1">
      <alignment horizontal="center" vertical="center"/>
      <protection locked="0" hidden="1"/>
    </xf>
    <xf numFmtId="0" fontId="4" fillId="0" borderId="92" xfId="0" applyFont="1" applyBorder="1" applyAlignment="1">
      <alignment vertical="center"/>
    </xf>
    <xf numFmtId="0" fontId="17" fillId="0" borderId="2" xfId="0" applyFont="1" applyBorder="1" applyAlignment="1" applyProtection="1">
      <alignment horizontal="left" vertical="center" wrapText="1"/>
      <protection hidden="1"/>
    </xf>
    <xf numFmtId="0" fontId="18" fillId="0" borderId="2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vertical="center" wrapText="1"/>
      <protection hidden="1"/>
    </xf>
    <xf numFmtId="0" fontId="1" fillId="0" borderId="92" xfId="0" applyFont="1" applyBorder="1"/>
    <xf numFmtId="0" fontId="11" fillId="5" borderId="115" xfId="0" applyFont="1" applyFill="1" applyBorder="1" applyAlignment="1" applyProtection="1">
      <alignment vertical="center" wrapText="1"/>
      <protection locked="0" hidden="1"/>
    </xf>
    <xf numFmtId="0" fontId="27" fillId="5" borderId="116" xfId="0" applyFont="1" applyFill="1" applyBorder="1" applyAlignment="1" applyProtection="1">
      <alignment vertical="center" wrapText="1"/>
      <protection locked="0" hidden="1"/>
    </xf>
    <xf numFmtId="0" fontId="11" fillId="5" borderId="55" xfId="0" applyFont="1" applyFill="1" applyBorder="1" applyAlignment="1" applyProtection="1">
      <alignment vertical="center" wrapText="1"/>
      <protection locked="0" hidden="1"/>
    </xf>
    <xf numFmtId="0" fontId="11" fillId="5" borderId="55" xfId="0" applyFont="1" applyFill="1" applyBorder="1" applyProtection="1">
      <protection locked="0" hidden="1"/>
    </xf>
    <xf numFmtId="0" fontId="11" fillId="5" borderId="124" xfId="0" applyFont="1" applyFill="1" applyBorder="1" applyProtection="1">
      <protection locked="0" hidden="1"/>
    </xf>
    <xf numFmtId="0" fontId="11" fillId="0" borderId="125" xfId="0" applyFont="1" applyBorder="1" applyAlignment="1" applyProtection="1">
      <alignment horizontal="right" vertical="center" wrapText="1"/>
      <protection hidden="1"/>
    </xf>
    <xf numFmtId="49" fontId="15" fillId="5" borderId="126" xfId="0" applyNumberFormat="1" applyFont="1" applyFill="1" applyBorder="1" applyAlignment="1" applyProtection="1">
      <alignment horizontal="center" vertical="center"/>
      <protection locked="0" hidden="1"/>
    </xf>
    <xf numFmtId="49" fontId="15" fillId="5" borderId="127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5" borderId="55" xfId="0" applyFont="1" applyFill="1" applyBorder="1" applyAlignment="1" applyProtection="1">
      <alignment horizontal="left" vertical="center"/>
      <protection locked="0" hidden="1"/>
    </xf>
    <xf numFmtId="0" fontId="11" fillId="5" borderId="124" xfId="0" applyFont="1" applyFill="1" applyBorder="1" applyAlignment="1" applyProtection="1">
      <alignment horizontal="left" vertical="center"/>
      <protection locked="0" hidden="1"/>
    </xf>
    <xf numFmtId="0" fontId="15" fillId="0" borderId="10" xfId="0" applyFont="1" applyBorder="1" applyProtection="1">
      <protection hidden="1"/>
    </xf>
    <xf numFmtId="0" fontId="15" fillId="0" borderId="11" xfId="0" applyFont="1" applyBorder="1" applyProtection="1">
      <protection hidden="1"/>
    </xf>
    <xf numFmtId="0" fontId="11" fillId="0" borderId="88" xfId="0" applyFont="1" applyBorder="1" applyAlignment="1" applyProtection="1">
      <alignment horizontal="right" vertical="center" wrapText="1"/>
      <protection hidden="1"/>
    </xf>
    <xf numFmtId="0" fontId="11" fillId="0" borderId="128" xfId="0" applyFont="1" applyBorder="1" applyAlignment="1" applyProtection="1">
      <alignment vertical="center" wrapText="1"/>
      <protection hidden="1"/>
    </xf>
    <xf numFmtId="0" fontId="0" fillId="0" borderId="7" xfId="0" applyBorder="1"/>
    <xf numFmtId="0" fontId="11" fillId="5" borderId="129" xfId="0" applyFont="1" applyFill="1" applyBorder="1" applyAlignment="1" applyProtection="1">
      <alignment horizontal="left" vertical="center"/>
      <protection locked="0" hidden="1"/>
    </xf>
    <xf numFmtId="0" fontId="21" fillId="2" borderId="14" xfId="0" applyFont="1" applyFill="1" applyBorder="1" applyAlignment="1" applyProtection="1">
      <alignment horizontal="center"/>
      <protection hidden="1"/>
    </xf>
    <xf numFmtId="0" fontId="21" fillId="2" borderId="12" xfId="0" applyFont="1" applyFill="1" applyBorder="1" applyAlignment="1" applyProtection="1">
      <alignment horizontal="center"/>
      <protection hidden="1"/>
    </xf>
    <xf numFmtId="0" fontId="4" fillId="6" borderId="0" xfId="0" applyFont="1" applyFill="1" applyProtection="1">
      <protection locked="0" hidden="1"/>
    </xf>
    <xf numFmtId="0" fontId="0" fillId="6" borderId="0" xfId="0" applyFill="1" applyProtection="1">
      <protection locked="0"/>
    </xf>
    <xf numFmtId="0" fontId="26" fillId="0" borderId="20" xfId="0" applyFont="1" applyBorder="1" applyAlignment="1" applyProtection="1">
      <alignment horizontal="center" vertical="center" wrapText="1"/>
      <protection hidden="1"/>
    </xf>
    <xf numFmtId="0" fontId="15" fillId="0" borderId="29" xfId="0" applyFont="1" applyBorder="1" applyAlignment="1" applyProtection="1">
      <alignment horizontal="center" vertical="center" wrapText="1"/>
      <protection hidden="1"/>
    </xf>
    <xf numFmtId="0" fontId="26" fillId="0" borderId="52" xfId="0" applyFont="1" applyBorder="1" applyAlignment="1" applyProtection="1">
      <alignment horizontal="center" vertical="center" wrapText="1"/>
      <protection hidden="1"/>
    </xf>
    <xf numFmtId="0" fontId="15" fillId="0" borderId="93" xfId="0" applyFont="1" applyBorder="1" applyAlignment="1" applyProtection="1">
      <alignment horizontal="center" vertical="center" wrapText="1"/>
      <protection hidden="1"/>
    </xf>
    <xf numFmtId="0" fontId="15" fillId="0" borderId="15" xfId="0" applyFont="1" applyBorder="1" applyProtection="1">
      <protection hidden="1"/>
    </xf>
    <xf numFmtId="0" fontId="15" fillId="0" borderId="16" xfId="0" applyFont="1" applyBorder="1" applyProtection="1">
      <protection hidden="1"/>
    </xf>
    <xf numFmtId="0" fontId="11" fillId="6" borderId="118" xfId="0" applyFont="1" applyFill="1" applyBorder="1" applyProtection="1">
      <protection locked="0" hidden="1"/>
    </xf>
    <xf numFmtId="0" fontId="0" fillId="6" borderId="118" xfId="0" applyFill="1" applyBorder="1" applyProtection="1">
      <protection locked="0" hidden="1"/>
    </xf>
    <xf numFmtId="9" fontId="15" fillId="0" borderId="11" xfId="0" applyNumberFormat="1" applyFont="1" applyBorder="1" applyAlignment="1" applyProtection="1">
      <alignment horizontal="center"/>
      <protection hidden="1"/>
    </xf>
    <xf numFmtId="9" fontId="0" fillId="0" borderId="11" xfId="0" applyNumberFormat="1" applyBorder="1" applyAlignment="1" applyProtection="1">
      <alignment horizontal="center"/>
      <protection hidden="1"/>
    </xf>
    <xf numFmtId="0" fontId="11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9" fontId="15" fillId="0" borderId="7" xfId="0" applyNumberFormat="1" applyFont="1" applyBorder="1" applyAlignment="1" applyProtection="1">
      <alignment horizontal="center"/>
      <protection hidden="1"/>
    </xf>
    <xf numFmtId="0" fontId="0" fillId="0" borderId="7" xfId="0" applyBorder="1" applyAlignment="1"/>
    <xf numFmtId="0" fontId="3" fillId="0" borderId="92" xfId="0" applyFont="1" applyBorder="1" applyAlignment="1" applyProtection="1">
      <alignment horizontal="left" wrapText="1"/>
      <protection hidden="1"/>
    </xf>
    <xf numFmtId="0" fontId="4" fillId="0" borderId="131" xfId="0" applyFont="1" applyBorder="1" applyAlignment="1" applyProtection="1">
      <alignment horizontal="center" textRotation="90" wrapText="1"/>
      <protection hidden="1"/>
    </xf>
    <xf numFmtId="0" fontId="4" fillId="0" borderId="36" xfId="0" applyFont="1" applyBorder="1" applyAlignment="1" applyProtection="1">
      <alignment horizontal="center" textRotation="90" wrapText="1"/>
      <protection hidden="1"/>
    </xf>
    <xf numFmtId="0" fontId="4" fillId="0" borderId="87" xfId="0" applyFont="1" applyBorder="1" applyAlignment="1" applyProtection="1">
      <alignment horizontal="center" textRotation="90" wrapText="1"/>
      <protection hidden="1"/>
    </xf>
    <xf numFmtId="0" fontId="4" fillId="0" borderId="132" xfId="0" applyFont="1" applyBorder="1" applyAlignment="1" applyProtection="1">
      <alignment horizontal="center" textRotation="90" wrapText="1"/>
      <protection hidden="1"/>
    </xf>
    <xf numFmtId="0" fontId="4" fillId="0" borderId="133" xfId="0" applyFont="1" applyBorder="1" applyAlignment="1" applyProtection="1">
      <alignment horizontal="center" textRotation="90" wrapText="1"/>
      <protection hidden="1"/>
    </xf>
    <xf numFmtId="0" fontId="4" fillId="0" borderId="134" xfId="0" applyFont="1" applyBorder="1" applyAlignment="1" applyProtection="1">
      <alignment horizontal="center" textRotation="90" wrapText="1"/>
      <protection hidden="1"/>
    </xf>
    <xf numFmtId="0" fontId="4" fillId="0" borderId="135" xfId="0" applyFont="1" applyBorder="1" applyAlignment="1" applyProtection="1">
      <alignment horizontal="center" textRotation="90" wrapText="1"/>
      <protection hidden="1"/>
    </xf>
    <xf numFmtId="0" fontId="4" fillId="0" borderId="109" xfId="0" applyFont="1" applyBorder="1" applyAlignment="1" applyProtection="1">
      <alignment horizontal="center" textRotation="90" wrapText="1"/>
      <protection hidden="1"/>
    </xf>
    <xf numFmtId="0" fontId="4" fillId="0" borderId="114" xfId="0" applyFont="1" applyBorder="1" applyAlignment="1" applyProtection="1">
      <alignment horizontal="center" textRotation="90" wrapText="1"/>
      <protection hidden="1"/>
    </xf>
    <xf numFmtId="14" fontId="3" fillId="0" borderId="92" xfId="0" applyNumberFormat="1" applyFont="1" applyBorder="1" applyAlignment="1" applyProtection="1">
      <alignment horizontal="left"/>
      <protection hidden="1"/>
    </xf>
    <xf numFmtId="0" fontId="15" fillId="0" borderId="95" xfId="0" applyFont="1" applyBorder="1" applyAlignment="1" applyProtection="1">
      <alignment horizontal="center" wrapText="1"/>
      <protection hidden="1"/>
    </xf>
    <xf numFmtId="0" fontId="15" fillId="0" borderId="103" xfId="0" applyFont="1" applyBorder="1" applyAlignment="1" applyProtection="1">
      <alignment horizontal="center" wrapText="1"/>
      <protection hidden="1"/>
    </xf>
    <xf numFmtId="0" fontId="15" fillId="0" borderId="98" xfId="0" applyFont="1" applyBorder="1" applyAlignment="1" applyProtection="1">
      <alignment horizontal="center" wrapText="1"/>
      <protection hidden="1"/>
    </xf>
    <xf numFmtId="0" fontId="23" fillId="0" borderId="0" xfId="0" applyFont="1" applyProtection="1">
      <protection hidden="1"/>
    </xf>
    <xf numFmtId="0" fontId="0" fillId="0" borderId="0" xfId="0" applyProtection="1">
      <protection hidden="1"/>
    </xf>
    <xf numFmtId="0" fontId="15" fillId="0" borderId="136" xfId="0" applyFont="1" applyBorder="1" applyAlignment="1" applyProtection="1">
      <alignment horizontal="center" wrapText="1"/>
      <protection hidden="1"/>
    </xf>
    <xf numFmtId="0" fontId="11" fillId="0" borderId="137" xfId="0" applyFont="1" applyBorder="1" applyAlignment="1">
      <alignment horizontal="center" wrapText="1"/>
    </xf>
    <xf numFmtId="0" fontId="11" fillId="0" borderId="138" xfId="0" applyFont="1" applyBorder="1" applyAlignment="1">
      <alignment horizontal="center" wrapText="1"/>
    </xf>
    <xf numFmtId="0" fontId="14" fillId="0" borderId="7" xfId="0" applyFont="1" applyBorder="1" applyProtection="1">
      <protection hidden="1"/>
    </xf>
    <xf numFmtId="0" fontId="0" fillId="0" borderId="7" xfId="0" applyBorder="1" applyProtection="1"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8" fillId="0" borderId="9" xfId="0" applyFont="1" applyBorder="1" applyProtection="1">
      <protection hidden="1"/>
    </xf>
    <xf numFmtId="0" fontId="0" fillId="0" borderId="9" xfId="0" applyBorder="1" applyProtection="1">
      <protection hidden="1"/>
    </xf>
    <xf numFmtId="0" fontId="11" fillId="0" borderId="21" xfId="0" applyFont="1" applyBorder="1" applyProtection="1">
      <protection hidden="1"/>
    </xf>
    <xf numFmtId="0" fontId="0" fillId="0" borderId="21" xfId="0" applyBorder="1" applyProtection="1">
      <protection hidden="1"/>
    </xf>
    <xf numFmtId="0" fontId="48" fillId="0" borderId="118" xfId="0" applyFont="1" applyBorder="1" applyAlignment="1" applyProtection="1">
      <alignment horizontal="left"/>
      <protection hidden="1"/>
    </xf>
    <xf numFmtId="0" fontId="3" fillId="0" borderId="118" xfId="0" applyFont="1" applyBorder="1" applyAlignment="1" applyProtection="1">
      <alignment horizontal="left" wrapText="1"/>
      <protection hidden="1"/>
    </xf>
    <xf numFmtId="0" fontId="3" fillId="0" borderId="130" xfId="0" applyFont="1" applyBorder="1" applyAlignment="1" applyProtection="1">
      <alignment horizontal="left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11" xfId="0" applyFont="1" applyBorder="1" applyAlignment="1" applyProtection="1">
      <alignment horizontal="right"/>
      <protection hidden="1"/>
    </xf>
    <xf numFmtId="0" fontId="11" fillId="0" borderId="11" xfId="0" applyFont="1" applyBorder="1" applyAlignment="1" applyProtection="1">
      <alignment horizontal="right" vertical="center" wrapText="1"/>
      <protection hidden="1"/>
    </xf>
    <xf numFmtId="0" fontId="11" fillId="0" borderId="8" xfId="0" applyFont="1" applyBorder="1" applyProtection="1">
      <protection hidden="1"/>
    </xf>
    <xf numFmtId="0" fontId="11" fillId="0" borderId="9" xfId="0" applyFont="1" applyBorder="1" applyProtection="1">
      <protection hidden="1"/>
    </xf>
    <xf numFmtId="0" fontId="4" fillId="0" borderId="139" xfId="0" applyFont="1" applyBorder="1" applyAlignment="1" applyProtection="1">
      <alignment horizontal="center" textRotation="90" wrapText="1"/>
      <protection hidden="1"/>
    </xf>
    <xf numFmtId="0" fontId="4" fillId="0" borderId="140" xfId="0" applyFont="1" applyBorder="1" applyAlignment="1" applyProtection="1">
      <alignment horizontal="center" textRotation="90" wrapText="1"/>
      <protection hidden="1"/>
    </xf>
    <xf numFmtId="0" fontId="4" fillId="0" borderId="102" xfId="0" applyFont="1" applyBorder="1" applyAlignment="1" applyProtection="1">
      <alignment horizontal="center" textRotation="90" wrapText="1"/>
      <protection hidden="1"/>
    </xf>
    <xf numFmtId="0" fontId="25" fillId="0" borderId="19" xfId="0" applyFont="1" applyBorder="1" applyAlignment="1" applyProtection="1">
      <alignment horizontal="left" wrapText="1"/>
      <protection hidden="1"/>
    </xf>
    <xf numFmtId="0" fontId="25" fillId="0" borderId="20" xfId="0" applyFont="1" applyBorder="1" applyAlignment="1" applyProtection="1">
      <alignment horizontal="left" wrapText="1"/>
      <protection hidden="1"/>
    </xf>
    <xf numFmtId="0" fontId="25" fillId="0" borderId="5" xfId="0" applyFont="1" applyBorder="1" applyAlignment="1" applyProtection="1">
      <alignment horizontal="left" wrapText="1"/>
      <protection hidden="1"/>
    </xf>
    <xf numFmtId="0" fontId="25" fillId="0" borderId="0" xfId="0" applyFont="1" applyAlignment="1" applyProtection="1">
      <alignment horizontal="left" wrapText="1"/>
      <protection hidden="1"/>
    </xf>
    <xf numFmtId="0" fontId="25" fillId="0" borderId="27" xfId="0" applyFont="1" applyBorder="1" applyAlignment="1" applyProtection="1">
      <alignment horizontal="left" wrapText="1"/>
      <protection hidden="1"/>
    </xf>
    <xf numFmtId="0" fontId="25" fillId="0" borderId="7" xfId="0" applyFont="1" applyBorder="1" applyAlignment="1" applyProtection="1">
      <alignment horizontal="left" wrapText="1"/>
      <protection hidden="1"/>
    </xf>
    <xf numFmtId="0" fontId="78" fillId="0" borderId="7" xfId="0" applyFont="1" applyBorder="1" applyAlignment="1" applyProtection="1">
      <alignment horizontal="right" wrapText="1"/>
      <protection hidden="1"/>
    </xf>
    <xf numFmtId="0" fontId="78" fillId="0" borderId="82" xfId="0" applyFont="1" applyBorder="1" applyAlignment="1" applyProtection="1">
      <alignment horizontal="right" wrapText="1"/>
      <protection hidden="1"/>
    </xf>
    <xf numFmtId="0" fontId="4" fillId="0" borderId="141" xfId="0" applyFont="1" applyBorder="1" applyAlignment="1" applyProtection="1">
      <alignment horizontal="center" wrapText="1"/>
      <protection hidden="1"/>
    </xf>
    <xf numFmtId="0" fontId="4" fillId="0" borderId="142" xfId="0" applyFont="1" applyBorder="1" applyAlignment="1" applyProtection="1">
      <alignment horizontal="center" wrapText="1"/>
      <protection hidden="1"/>
    </xf>
    <xf numFmtId="0" fontId="4" fillId="0" borderId="143" xfId="0" applyFont="1" applyBorder="1" applyAlignment="1" applyProtection="1">
      <alignment horizontal="center" wrapText="1"/>
      <protection hidden="1"/>
    </xf>
    <xf numFmtId="0" fontId="15" fillId="3" borderId="10" xfId="0" applyFont="1" applyFill="1" applyBorder="1" applyProtection="1">
      <protection hidden="1"/>
    </xf>
    <xf numFmtId="0" fontId="15" fillId="3" borderId="11" xfId="0" applyFont="1" applyFill="1" applyBorder="1" applyProtection="1">
      <protection hidden="1"/>
    </xf>
    <xf numFmtId="0" fontId="11" fillId="0" borderId="15" xfId="0" applyFont="1" applyBorder="1" applyAlignment="1" applyProtection="1">
      <alignment vertical="center" wrapText="1"/>
      <protection hidden="1"/>
    </xf>
    <xf numFmtId="0" fontId="11" fillId="0" borderId="16" xfId="0" applyFont="1" applyBorder="1" applyAlignment="1" applyProtection="1">
      <alignment vertical="center" wrapText="1"/>
      <protection hidden="1"/>
    </xf>
    <xf numFmtId="0" fontId="11" fillId="0" borderId="10" xfId="0" applyFont="1" applyFill="1" applyBorder="1" applyProtection="1">
      <protection hidden="1"/>
    </xf>
    <xf numFmtId="0" fontId="11" fillId="0" borderId="11" xfId="0" applyFont="1" applyFill="1" applyBorder="1" applyProtection="1">
      <protection hidden="1"/>
    </xf>
    <xf numFmtId="0" fontId="4" fillId="2" borderId="131" xfId="0" applyFont="1" applyFill="1" applyBorder="1" applyAlignment="1" applyProtection="1">
      <alignment horizontal="center" textRotation="90" wrapText="1"/>
      <protection hidden="1"/>
    </xf>
    <xf numFmtId="0" fontId="4" fillId="2" borderId="87" xfId="0" applyFont="1" applyFill="1" applyBorder="1" applyAlignment="1" applyProtection="1">
      <alignment horizontal="center" textRotation="90"/>
      <protection hidden="1"/>
    </xf>
    <xf numFmtId="0" fontId="4" fillId="0" borderId="141" xfId="0" applyFont="1" applyBorder="1" applyAlignment="1" applyProtection="1">
      <alignment horizontal="center"/>
      <protection hidden="1"/>
    </xf>
    <xf numFmtId="0" fontId="4" fillId="0" borderId="72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left"/>
      <protection hidden="1"/>
    </xf>
    <xf numFmtId="0" fontId="11" fillId="0" borderId="11" xfId="0" applyFont="1" applyBorder="1" applyAlignment="1" applyProtection="1">
      <alignment horizontal="left"/>
      <protection hidden="1"/>
    </xf>
    <xf numFmtId="0" fontId="26" fillId="0" borderId="49" xfId="0" applyFont="1" applyBorder="1" applyAlignment="1" applyProtection="1">
      <alignment horizontal="left" vertical="top" wrapText="1"/>
      <protection hidden="1"/>
    </xf>
    <xf numFmtId="0" fontId="26" fillId="0" borderId="50" xfId="0" applyFont="1" applyBorder="1" applyAlignment="1" applyProtection="1">
      <alignment horizontal="left" vertical="top" wrapText="1"/>
      <protection hidden="1"/>
    </xf>
    <xf numFmtId="0" fontId="11" fillId="0" borderId="9" xfId="0" applyFont="1" applyBorder="1" applyAlignment="1" applyProtection="1">
      <alignment horizontal="right" vertical="center" wrapText="1"/>
      <protection hidden="1"/>
    </xf>
    <xf numFmtId="0" fontId="11" fillId="0" borderId="15" xfId="0" applyFont="1" applyBorder="1" applyAlignment="1" applyProtection="1">
      <alignment horizontal="left"/>
      <protection hidden="1"/>
    </xf>
    <xf numFmtId="0" fontId="11" fillId="0" borderId="16" xfId="0" applyFont="1" applyBorder="1" applyAlignment="1" applyProtection="1">
      <alignment horizontal="left"/>
      <protection hidden="1"/>
    </xf>
    <xf numFmtId="0" fontId="10" fillId="0" borderId="20" xfId="0" applyFont="1" applyBorder="1" applyAlignment="1" applyProtection="1">
      <alignment horizontal="left" wrapText="1"/>
      <protection hidden="1"/>
    </xf>
    <xf numFmtId="0" fontId="10" fillId="0" borderId="93" xfId="0" applyFont="1" applyBorder="1" applyAlignment="1" applyProtection="1">
      <alignment horizontal="left" wrapText="1"/>
      <protection hidden="1"/>
    </xf>
    <xf numFmtId="0" fontId="10" fillId="0" borderId="24" xfId="0" applyFont="1" applyBorder="1" applyAlignment="1" applyProtection="1">
      <alignment horizontal="left" wrapText="1"/>
      <protection hidden="1"/>
    </xf>
    <xf numFmtId="0" fontId="10" fillId="0" borderId="2" xfId="0" applyFont="1" applyBorder="1" applyAlignment="1" applyProtection="1">
      <alignment horizontal="left" wrapText="1"/>
      <protection hidden="1"/>
    </xf>
    <xf numFmtId="0" fontId="10" fillId="0" borderId="41" xfId="0" applyFont="1" applyBorder="1" applyAlignment="1" applyProtection="1">
      <alignment horizontal="left" wrapText="1"/>
      <protection hidden="1"/>
    </xf>
    <xf numFmtId="0" fontId="11" fillId="0" borderId="97" xfId="0" applyFont="1" applyBorder="1" applyAlignment="1" applyProtection="1">
      <alignment horizontal="left"/>
      <protection hidden="1"/>
    </xf>
    <xf numFmtId="0" fontId="11" fillId="0" borderId="21" xfId="0" applyFont="1" applyBorder="1" applyAlignment="1" applyProtection="1">
      <alignment horizontal="left"/>
      <protection hidden="1"/>
    </xf>
    <xf numFmtId="0" fontId="16" fillId="0" borderId="144" xfId="0" applyFont="1" applyBorder="1" applyAlignment="1" applyProtection="1">
      <alignment horizontal="center"/>
      <protection hidden="1"/>
    </xf>
    <xf numFmtId="0" fontId="0" fillId="0" borderId="102" xfId="0" applyBorder="1" applyAlignment="1" applyProtection="1">
      <alignment horizontal="center"/>
      <protection hidden="1"/>
    </xf>
    <xf numFmtId="0" fontId="95" fillId="0" borderId="0" xfId="0" applyFont="1" applyAlignment="1" applyProtection="1">
      <alignment textRotation="90" wrapText="1"/>
      <protection hidden="1"/>
    </xf>
    <xf numFmtId="0" fontId="16" fillId="0" borderId="105" xfId="0" applyFont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100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16" fillId="0" borderId="33" xfId="0" applyFont="1" applyBorder="1" applyAlignment="1" applyProtection="1">
      <alignment horizontal="center"/>
      <protection hidden="1"/>
    </xf>
    <xf numFmtId="0" fontId="0" fillId="0" borderId="87" xfId="0" applyBorder="1" applyAlignment="1" applyProtection="1">
      <alignment horizontal="center"/>
      <protection hidden="1"/>
    </xf>
    <xf numFmtId="0" fontId="16" fillId="0" borderId="132" xfId="0" applyFont="1" applyBorder="1" applyAlignment="1" applyProtection="1">
      <alignment horizontal="center"/>
      <protection hidden="1"/>
    </xf>
    <xf numFmtId="0" fontId="0" fillId="0" borderId="133" xfId="0" applyBorder="1" applyAlignment="1" applyProtection="1">
      <alignment horizontal="center"/>
      <protection hidden="1"/>
    </xf>
    <xf numFmtId="0" fontId="0" fillId="0" borderId="134" xfId="0" applyBorder="1" applyAlignment="1" applyProtection="1">
      <alignment horizontal="center"/>
      <protection hidden="1"/>
    </xf>
    <xf numFmtId="0" fontId="21" fillId="0" borderId="5" xfId="0" applyFont="1" applyBorder="1" applyAlignment="1" applyProtection="1">
      <alignment textRotation="90" wrapText="1"/>
      <protection hidden="1"/>
    </xf>
    <xf numFmtId="0" fontId="76" fillId="0" borderId="5" xfId="0" applyFont="1" applyBorder="1" applyAlignment="1" applyProtection="1">
      <alignment textRotation="90" wrapText="1"/>
      <protection hidden="1"/>
    </xf>
    <xf numFmtId="0" fontId="15" fillId="0" borderId="145" xfId="0" applyFont="1" applyBorder="1" applyAlignment="1" applyProtection="1">
      <alignment horizontal="center" wrapText="1"/>
      <protection hidden="1"/>
    </xf>
    <xf numFmtId="0" fontId="15" fillId="0" borderId="146" xfId="0" applyFont="1" applyBorder="1" applyAlignment="1" applyProtection="1">
      <alignment horizontal="center" wrapText="1"/>
      <protection hidden="1"/>
    </xf>
    <xf numFmtId="0" fontId="15" fillId="0" borderId="100" xfId="0" applyFont="1" applyBorder="1" applyAlignment="1" applyProtection="1">
      <alignment horizontal="center" wrapText="1"/>
      <protection hidden="1"/>
    </xf>
    <xf numFmtId="0" fontId="4" fillId="2" borderId="36" xfId="0" applyFont="1" applyFill="1" applyBorder="1" applyAlignment="1" applyProtection="1">
      <alignment horizontal="center" textRotation="90"/>
      <protection hidden="1"/>
    </xf>
    <xf numFmtId="0" fontId="16" fillId="2" borderId="132" xfId="0" applyFont="1" applyFill="1" applyBorder="1" applyAlignment="1" applyProtection="1">
      <alignment horizontal="center"/>
      <protection hidden="1"/>
    </xf>
    <xf numFmtId="0" fontId="16" fillId="2" borderId="134" xfId="0" applyFont="1" applyFill="1" applyBorder="1" applyAlignment="1" applyProtection="1">
      <alignment horizontal="center"/>
      <protection hidden="1"/>
    </xf>
    <xf numFmtId="0" fontId="15" fillId="0" borderId="138" xfId="0" applyFont="1" applyBorder="1" applyAlignment="1">
      <alignment horizontal="center" wrapText="1"/>
    </xf>
    <xf numFmtId="0" fontId="15" fillId="0" borderId="135" xfId="0" applyFont="1" applyBorder="1" applyAlignment="1" applyProtection="1">
      <alignment horizontal="center" wrapText="1"/>
      <protection hidden="1"/>
    </xf>
    <xf numFmtId="0" fontId="15" fillId="0" borderId="114" xfId="0" applyFont="1" applyBorder="1" applyAlignment="1">
      <alignment horizontal="center" wrapText="1"/>
    </xf>
    <xf numFmtId="0" fontId="4" fillId="0" borderId="106" xfId="0" applyFont="1" applyBorder="1" applyAlignment="1" applyProtection="1">
      <alignment horizontal="center" textRotation="90" wrapText="1"/>
      <protection hidden="1"/>
    </xf>
    <xf numFmtId="0" fontId="0" fillId="0" borderId="108" xfId="0" applyBorder="1" applyAlignment="1">
      <alignment horizontal="center" textRotation="90" wrapText="1"/>
    </xf>
    <xf numFmtId="0" fontId="5" fillId="0" borderId="139" xfId="0" applyFont="1" applyBorder="1" applyAlignment="1" applyProtection="1">
      <alignment horizontal="center" textRotation="90" wrapText="1"/>
      <protection hidden="1"/>
    </xf>
    <xf numFmtId="0" fontId="5" fillId="0" borderId="102" xfId="0" applyFont="1" applyBorder="1" applyAlignment="1" applyProtection="1">
      <alignment horizontal="center" textRotation="90" wrapText="1"/>
      <protection hidden="1"/>
    </xf>
    <xf numFmtId="0" fontId="24" fillId="0" borderId="0" xfId="0" applyFont="1" applyProtection="1">
      <protection hidden="1"/>
    </xf>
    <xf numFmtId="0" fontId="25" fillId="0" borderId="49" xfId="0" applyFont="1" applyBorder="1" applyAlignment="1" applyProtection="1">
      <alignment horizontal="left"/>
      <protection hidden="1"/>
    </xf>
    <xf numFmtId="0" fontId="25" fillId="0" borderId="50" xfId="0" applyFont="1" applyBorder="1" applyAlignment="1" applyProtection="1">
      <alignment horizontal="left"/>
      <protection hidden="1"/>
    </xf>
    <xf numFmtId="14" fontId="3" fillId="0" borderId="118" xfId="0" applyNumberFormat="1" applyFont="1" applyBorder="1" applyAlignment="1" applyProtection="1">
      <alignment horizontal="left"/>
      <protection hidden="1"/>
    </xf>
    <xf numFmtId="0" fontId="29" fillId="0" borderId="9" xfId="0" applyFont="1" applyBorder="1" applyProtection="1">
      <protection hidden="1"/>
    </xf>
    <xf numFmtId="0" fontId="3" fillId="0" borderId="130" xfId="0" applyFont="1" applyBorder="1" applyAlignment="1" applyProtection="1">
      <alignment horizontal="left"/>
      <protection hidden="1"/>
    </xf>
    <xf numFmtId="0" fontId="4" fillId="0" borderId="50" xfId="0" applyFont="1" applyBorder="1" applyProtection="1">
      <protection hidden="1"/>
    </xf>
    <xf numFmtId="0" fontId="0" fillId="0" borderId="50" xfId="0" applyBorder="1" applyProtection="1"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4" fillId="0" borderId="77" xfId="0" applyFont="1" applyBorder="1" applyProtection="1">
      <protection hidden="1"/>
    </xf>
    <xf numFmtId="0" fontId="0" fillId="0" borderId="51" xfId="0" applyBorder="1" applyProtection="1">
      <protection hidden="1"/>
    </xf>
    <xf numFmtId="0" fontId="11" fillId="0" borderId="8" xfId="0" applyFont="1" applyBorder="1" applyAlignment="1" applyProtection="1">
      <alignment vertical="center"/>
      <protection hidden="1"/>
    </xf>
    <xf numFmtId="0" fontId="11" fillId="0" borderId="9" xfId="0" applyFont="1" applyBorder="1" applyAlignment="1" applyProtection="1">
      <alignment vertical="center"/>
      <protection hidden="1"/>
    </xf>
    <xf numFmtId="0" fontId="11" fillId="0" borderId="97" xfId="0" applyFont="1" applyBorder="1" applyProtection="1">
      <protection hidden="1"/>
    </xf>
    <xf numFmtId="0" fontId="26" fillId="0" borderId="49" xfId="0" applyFont="1" applyBorder="1" applyAlignment="1" applyProtection="1">
      <alignment vertical="center"/>
      <protection hidden="1"/>
    </xf>
    <xf numFmtId="0" fontId="26" fillId="0" borderId="50" xfId="0" applyFont="1" applyBorder="1" applyAlignment="1" applyProtection="1">
      <alignment vertical="center"/>
      <protection hidden="1"/>
    </xf>
    <xf numFmtId="0" fontId="0" fillId="0" borderId="20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31" xfId="0" applyBorder="1" applyProtection="1">
      <protection hidden="1"/>
    </xf>
    <xf numFmtId="0" fontId="5" fillId="0" borderId="50" xfId="0" applyFont="1" applyBorder="1" applyAlignment="1" applyProtection="1">
      <alignment horizontal="center" textRotation="90" wrapText="1"/>
      <protection hidden="1"/>
    </xf>
    <xf numFmtId="0" fontId="0" fillId="0" borderId="50" xfId="0" applyBorder="1" applyAlignment="1" applyProtection="1">
      <alignment horizontal="center" textRotation="90" wrapText="1"/>
      <protection hidden="1"/>
    </xf>
    <xf numFmtId="0" fontId="0" fillId="0" borderId="51" xfId="0" applyBorder="1" applyAlignment="1" applyProtection="1">
      <alignment horizontal="center" textRotation="90" wrapText="1"/>
      <protection hidden="1"/>
    </xf>
    <xf numFmtId="0" fontId="0" fillId="0" borderId="20" xfId="0" applyBorder="1" applyAlignment="1" applyProtection="1">
      <alignment horizontal="center" textRotation="90" wrapText="1"/>
      <protection hidden="1"/>
    </xf>
    <xf numFmtId="0" fontId="0" fillId="0" borderId="29" xfId="0" applyBorder="1" applyAlignment="1" applyProtection="1">
      <alignment horizontal="center" textRotation="90" wrapText="1"/>
      <protection hidden="1"/>
    </xf>
    <xf numFmtId="0" fontId="0" fillId="0" borderId="0" xfId="0" applyAlignment="1" applyProtection="1">
      <alignment horizontal="center" textRotation="90" wrapText="1"/>
      <protection hidden="1"/>
    </xf>
    <xf numFmtId="0" fontId="0" fillId="0" borderId="4" xfId="0" applyBorder="1" applyAlignment="1" applyProtection="1">
      <alignment horizontal="center" textRotation="90" wrapText="1"/>
      <protection hidden="1"/>
    </xf>
    <xf numFmtId="0" fontId="0" fillId="0" borderId="7" xfId="0" applyBorder="1" applyAlignment="1" applyProtection="1">
      <alignment horizontal="center" textRotation="90" wrapText="1"/>
      <protection hidden="1"/>
    </xf>
    <xf numFmtId="0" fontId="0" fillId="0" borderId="31" xfId="0" applyBorder="1" applyAlignment="1" applyProtection="1">
      <alignment horizontal="center" textRotation="90" wrapText="1"/>
      <protection hidden="1"/>
    </xf>
    <xf numFmtId="0" fontId="25" fillId="0" borderId="147" xfId="0" applyFont="1" applyBorder="1" applyAlignment="1" applyProtection="1">
      <alignment horizontal="left"/>
      <protection hidden="1"/>
    </xf>
    <xf numFmtId="0" fontId="4" fillId="0" borderId="11" xfId="0" applyFont="1" applyBorder="1" applyProtection="1">
      <protection hidden="1"/>
    </xf>
    <xf numFmtId="0" fontId="11" fillId="0" borderId="15" xfId="0" applyFont="1" applyBorder="1" applyProtection="1">
      <protection hidden="1"/>
    </xf>
    <xf numFmtId="0" fontId="11" fillId="0" borderId="16" xfId="0" applyFont="1" applyBorder="1" applyProtection="1">
      <protection hidden="1"/>
    </xf>
    <xf numFmtId="0" fontId="0" fillId="0" borderId="16" xfId="0" applyBorder="1" applyProtection="1">
      <protection hidden="1"/>
    </xf>
    <xf numFmtId="164" fontId="11" fillId="2" borderId="10" xfId="0" applyNumberFormat="1" applyFont="1" applyFill="1" applyBorder="1" applyAlignment="1" applyProtection="1">
      <alignment horizontal="center" vertical="center"/>
      <protection hidden="1"/>
    </xf>
    <xf numFmtId="164" fontId="11" fillId="2" borderId="60" xfId="0" applyNumberFormat="1" applyFont="1" applyFill="1" applyBorder="1" applyAlignment="1" applyProtection="1">
      <alignment horizontal="center" vertical="center"/>
      <protection hidden="1"/>
    </xf>
    <xf numFmtId="0" fontId="11" fillId="6" borderId="10" xfId="0" applyFont="1" applyFill="1" applyBorder="1" applyAlignment="1" applyProtection="1">
      <alignment horizontal="left"/>
      <protection locked="0" hidden="1"/>
    </xf>
    <xf numFmtId="0" fontId="11" fillId="6" borderId="11" xfId="0" applyFont="1" applyFill="1" applyBorder="1" applyAlignment="1" applyProtection="1">
      <alignment horizontal="left"/>
      <protection locked="0" hidden="1"/>
    </xf>
    <xf numFmtId="0" fontId="11" fillId="6" borderId="12" xfId="0" applyFont="1" applyFill="1" applyBorder="1" applyAlignment="1" applyProtection="1">
      <alignment horizontal="left"/>
      <protection locked="0" hidden="1"/>
    </xf>
    <xf numFmtId="0" fontId="11" fillId="6" borderId="15" xfId="0" applyFont="1" applyFill="1" applyBorder="1" applyAlignment="1" applyProtection="1">
      <alignment horizontal="left"/>
      <protection locked="0" hidden="1"/>
    </xf>
    <xf numFmtId="0" fontId="11" fillId="6" borderId="16" xfId="0" applyFont="1" applyFill="1" applyBorder="1" applyAlignment="1" applyProtection="1">
      <alignment horizontal="left"/>
      <protection locked="0" hidden="1"/>
    </xf>
    <xf numFmtId="0" fontId="11" fillId="6" borderId="17" xfId="0" applyFont="1" applyFill="1" applyBorder="1" applyAlignment="1" applyProtection="1">
      <alignment horizontal="left"/>
      <protection locked="0" hidden="1"/>
    </xf>
    <xf numFmtId="0" fontId="11" fillId="0" borderId="97" xfId="0" applyFont="1" applyBorder="1" applyAlignment="1" applyProtection="1">
      <alignment horizontal="left" vertical="center"/>
      <protection hidden="1"/>
    </xf>
    <xf numFmtId="0" fontId="11" fillId="0" borderId="21" xfId="0" applyFont="1" applyBorder="1" applyAlignment="1" applyProtection="1">
      <alignment horizontal="left" vertical="center"/>
      <protection hidden="1"/>
    </xf>
    <xf numFmtId="0" fontId="11" fillId="0" borderId="96" xfId="0" applyFont="1" applyBorder="1" applyAlignment="1" applyProtection="1">
      <alignment horizontal="left" vertical="center"/>
      <protection hidden="1"/>
    </xf>
    <xf numFmtId="0" fontId="11" fillId="0" borderId="15" xfId="0" applyFont="1" applyBorder="1" applyAlignment="1" applyProtection="1">
      <alignment horizontal="left" vertical="center"/>
      <protection hidden="1"/>
    </xf>
    <xf numFmtId="0" fontId="11" fillId="0" borderId="16" xfId="0" applyFont="1" applyBorder="1" applyAlignment="1" applyProtection="1">
      <alignment horizontal="left" vertical="center"/>
      <protection hidden="1"/>
    </xf>
    <xf numFmtId="0" fontId="11" fillId="0" borderId="148" xfId="0" applyFont="1" applyBorder="1" applyAlignment="1" applyProtection="1">
      <alignment horizontal="left" vertical="center"/>
      <protection hidden="1"/>
    </xf>
    <xf numFmtId="1" fontId="11" fillId="6" borderId="10" xfId="0" applyNumberFormat="1" applyFont="1" applyFill="1" applyBorder="1" applyAlignment="1" applyProtection="1">
      <alignment horizontal="center" vertical="center"/>
      <protection locked="0" hidden="1"/>
    </xf>
    <xf numFmtId="1" fontId="11" fillId="6" borderId="60" xfId="0" applyNumberFormat="1" applyFont="1" applyFill="1" applyBorder="1" applyAlignment="1" applyProtection="1">
      <alignment horizontal="center" vertical="center"/>
      <protection locked="0" hidden="1"/>
    </xf>
    <xf numFmtId="1" fontId="11" fillId="6" borderId="15" xfId="0" applyNumberFormat="1" applyFont="1" applyFill="1" applyBorder="1" applyAlignment="1" applyProtection="1">
      <alignment horizontal="center" vertical="center"/>
      <protection locked="0" hidden="1"/>
    </xf>
    <xf numFmtId="1" fontId="11" fillId="6" borderId="148" xfId="0" applyNumberFormat="1" applyFont="1" applyFill="1" applyBorder="1" applyAlignment="1" applyProtection="1">
      <alignment horizontal="center" vertical="center"/>
      <protection locked="0" hidden="1"/>
    </xf>
    <xf numFmtId="0" fontId="11" fillId="6" borderId="24" xfId="0" applyFont="1" applyFill="1" applyBorder="1" applyAlignment="1" applyProtection="1">
      <alignment horizontal="left" vertical="center"/>
      <protection locked="0" hidden="1"/>
    </xf>
    <xf numFmtId="0" fontId="11" fillId="6" borderId="2" xfId="0" applyFont="1" applyFill="1" applyBorder="1" applyAlignment="1" applyProtection="1">
      <alignment horizontal="left" vertical="center"/>
      <protection locked="0" hidden="1"/>
    </xf>
    <xf numFmtId="0" fontId="11" fillId="6" borderId="41" xfId="0" applyFont="1" applyFill="1" applyBorder="1" applyAlignment="1" applyProtection="1">
      <alignment horizontal="left" vertical="center"/>
      <protection locked="0" hidden="1"/>
    </xf>
    <xf numFmtId="0" fontId="11" fillId="6" borderId="8" xfId="0" applyFont="1" applyFill="1" applyBorder="1" applyAlignment="1" applyProtection="1">
      <alignment horizontal="left" vertical="center"/>
      <protection locked="0" hidden="1"/>
    </xf>
    <xf numFmtId="0" fontId="11" fillId="6" borderId="9" xfId="0" applyFont="1" applyFill="1" applyBorder="1" applyAlignment="1" applyProtection="1">
      <alignment horizontal="left" vertical="center"/>
      <protection locked="0" hidden="1"/>
    </xf>
    <xf numFmtId="0" fontId="11" fillId="6" borderId="46" xfId="0" applyFont="1" applyFill="1" applyBorder="1" applyAlignment="1" applyProtection="1">
      <alignment horizontal="left" vertical="center"/>
      <protection locked="0" hidden="1"/>
    </xf>
    <xf numFmtId="0" fontId="15" fillId="0" borderId="67" xfId="0" applyFont="1" applyBorder="1" applyAlignment="1" applyProtection="1">
      <alignment horizontal="center" wrapText="1"/>
      <protection hidden="1"/>
    </xf>
    <xf numFmtId="164" fontId="11" fillId="2" borderId="8" xfId="0" applyNumberFormat="1" applyFont="1" applyFill="1" applyBorder="1" applyAlignment="1" applyProtection="1">
      <alignment horizontal="center" vertical="center"/>
      <protection hidden="1"/>
    </xf>
    <xf numFmtId="164" fontId="11" fillId="2" borderId="63" xfId="0" applyNumberFormat="1" applyFont="1" applyFill="1" applyBorder="1" applyAlignment="1" applyProtection="1">
      <alignment horizontal="center" vertical="center"/>
      <protection hidden="1"/>
    </xf>
    <xf numFmtId="0" fontId="25" fillId="0" borderId="49" xfId="0" applyFont="1" applyBorder="1" applyAlignment="1" applyProtection="1">
      <alignment horizontal="left" wrapText="1"/>
      <protection hidden="1"/>
    </xf>
    <xf numFmtId="0" fontId="25" fillId="0" borderId="50" xfId="0" applyFont="1" applyBorder="1" applyAlignment="1" applyProtection="1">
      <alignment horizontal="left" wrapText="1"/>
      <protection hidden="1"/>
    </xf>
    <xf numFmtId="0" fontId="25" fillId="0" borderId="147" xfId="0" applyFont="1" applyBorder="1" applyAlignment="1" applyProtection="1">
      <alignment horizontal="left" wrapText="1"/>
      <protection hidden="1"/>
    </xf>
    <xf numFmtId="0" fontId="11" fillId="6" borderId="8" xfId="0" applyFont="1" applyFill="1" applyBorder="1" applyAlignment="1" applyProtection="1">
      <alignment horizontal="left"/>
      <protection locked="0" hidden="1"/>
    </xf>
    <xf numFmtId="0" fontId="11" fillId="6" borderId="9" xfId="0" applyFont="1" applyFill="1" applyBorder="1" applyAlignment="1" applyProtection="1">
      <alignment horizontal="left"/>
      <protection locked="0" hidden="1"/>
    </xf>
    <xf numFmtId="0" fontId="11" fillId="6" borderId="46" xfId="0" applyFont="1" applyFill="1" applyBorder="1" applyAlignment="1" applyProtection="1">
      <alignment horizontal="left"/>
      <protection locked="0" hidden="1"/>
    </xf>
    <xf numFmtId="164" fontId="11" fillId="2" borderId="19" xfId="0" applyNumberFormat="1" applyFont="1" applyFill="1" applyBorder="1" applyAlignment="1" applyProtection="1">
      <alignment horizontal="center" vertical="center"/>
      <protection hidden="1"/>
    </xf>
    <xf numFmtId="164" fontId="11" fillId="2" borderId="29" xfId="0" applyNumberFormat="1" applyFont="1" applyFill="1" applyBorder="1" applyAlignment="1" applyProtection="1">
      <alignment horizontal="center" vertical="center"/>
      <protection hidden="1"/>
    </xf>
    <xf numFmtId="164" fontId="11" fillId="2" borderId="15" xfId="0" applyNumberFormat="1" applyFont="1" applyFill="1" applyBorder="1" applyAlignment="1" applyProtection="1">
      <alignment horizontal="center" vertical="center"/>
      <protection hidden="1"/>
    </xf>
    <xf numFmtId="164" fontId="11" fillId="2" borderId="148" xfId="0" applyNumberFormat="1" applyFont="1" applyFill="1" applyBorder="1" applyAlignment="1" applyProtection="1">
      <alignment horizontal="center" vertical="center"/>
      <protection hidden="1"/>
    </xf>
    <xf numFmtId="14" fontId="3" fillId="0" borderId="92" xfId="0" applyNumberFormat="1" applyFont="1" applyBorder="1" applyAlignment="1" applyProtection="1">
      <alignment horizontal="left" wrapText="1"/>
      <protection hidden="1"/>
    </xf>
    <xf numFmtId="0" fontId="3" fillId="0" borderId="32" xfId="0" applyFont="1" applyBorder="1" applyAlignment="1" applyProtection="1">
      <alignment horizontal="left"/>
      <protection hidden="1"/>
    </xf>
    <xf numFmtId="166" fontId="3" fillId="0" borderId="118" xfId="0" applyNumberFormat="1" applyFont="1" applyBorder="1" applyAlignment="1" applyProtection="1">
      <alignment horizontal="left" wrapText="1"/>
      <protection hidden="1"/>
    </xf>
    <xf numFmtId="166" fontId="2" fillId="0" borderId="9" xfId="0" applyNumberFormat="1" applyFont="1" applyBorder="1" applyAlignment="1" applyProtection="1">
      <alignment horizontal="center" vertical="center" wrapText="1"/>
      <protection hidden="1"/>
    </xf>
    <xf numFmtId="166" fontId="3" fillId="0" borderId="118" xfId="0" applyNumberFormat="1" applyFont="1" applyBorder="1" applyAlignment="1" applyProtection="1">
      <alignment horizontal="left"/>
      <protection hidden="1"/>
    </xf>
    <xf numFmtId="0" fontId="11" fillId="0" borderId="21" xfId="0" applyFont="1" applyBorder="1" applyAlignment="1" applyProtection="1">
      <alignment horizontal="left" wrapText="1"/>
      <protection hidden="1"/>
    </xf>
    <xf numFmtId="0" fontId="0" fillId="0" borderId="21" xfId="0" applyBorder="1" applyAlignment="1" applyProtection="1">
      <alignment horizontal="left" wrapText="1"/>
      <protection hidden="1"/>
    </xf>
    <xf numFmtId="0" fontId="11" fillId="0" borderId="148" xfId="0" applyFont="1" applyBorder="1" applyAlignment="1" applyProtection="1">
      <alignment horizontal="left"/>
      <protection hidden="1"/>
    </xf>
    <xf numFmtId="0" fontId="11" fillId="0" borderId="60" xfId="0" applyFont="1" applyBorder="1" applyAlignment="1" applyProtection="1">
      <alignment horizontal="left"/>
      <protection hidden="1"/>
    </xf>
    <xf numFmtId="0" fontId="11" fillId="6" borderId="10" xfId="0" applyFont="1" applyFill="1" applyBorder="1" applyAlignment="1" applyProtection="1">
      <alignment horizontal="left" vertical="center"/>
      <protection locked="0" hidden="1"/>
    </xf>
    <xf numFmtId="0" fontId="11" fillId="6" borderId="11" xfId="0" applyFont="1" applyFill="1" applyBorder="1" applyAlignment="1" applyProtection="1">
      <alignment horizontal="left" vertical="center"/>
      <protection locked="0" hidden="1"/>
    </xf>
    <xf numFmtId="0" fontId="11" fillId="6" borderId="12" xfId="0" applyFont="1" applyFill="1" applyBorder="1" applyAlignment="1" applyProtection="1">
      <alignment horizontal="left" vertical="center"/>
      <protection locked="0" hidden="1"/>
    </xf>
    <xf numFmtId="164" fontId="0" fillId="0" borderId="60" xfId="0" applyNumberFormat="1" applyBorder="1" applyAlignment="1" applyProtection="1">
      <alignment horizontal="center" vertical="center"/>
      <protection hidden="1"/>
    </xf>
    <xf numFmtId="164" fontId="11" fillId="2" borderId="21" xfId="0" applyNumberFormat="1" applyFont="1" applyFill="1" applyBorder="1" applyAlignment="1" applyProtection="1">
      <alignment horizontal="center" vertical="center"/>
      <protection hidden="1"/>
    </xf>
    <xf numFmtId="164" fontId="11" fillId="2" borderId="96" xfId="0" applyNumberFormat="1" applyFont="1" applyFill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/>
      <protection hidden="1"/>
    </xf>
    <xf numFmtId="0" fontId="11" fillId="0" borderId="62" xfId="0" applyFont="1" applyBorder="1" applyAlignment="1" applyProtection="1">
      <alignment horizontal="center"/>
      <protection hidden="1"/>
    </xf>
    <xf numFmtId="0" fontId="11" fillId="2" borderId="10" xfId="0" applyFont="1" applyFill="1" applyBorder="1" applyAlignment="1" applyProtection="1">
      <alignment horizontal="center" vertical="center"/>
      <protection hidden="1"/>
    </xf>
    <xf numFmtId="0" fontId="11" fillId="2" borderId="60" xfId="0" applyFont="1" applyFill="1" applyBorder="1" applyAlignment="1" applyProtection="1">
      <alignment horizontal="center" vertical="center"/>
      <protection hidden="1"/>
    </xf>
    <xf numFmtId="1" fontId="15" fillId="0" borderId="49" xfId="0" applyNumberFormat="1" applyFont="1" applyBorder="1" applyAlignment="1" applyProtection="1">
      <alignment horizontal="center"/>
      <protection hidden="1"/>
    </xf>
    <xf numFmtId="1" fontId="0" fillId="0" borderId="51" xfId="0" applyNumberFormat="1" applyBorder="1" applyAlignment="1" applyProtection="1">
      <alignment horizontal="center"/>
      <protection hidden="1"/>
    </xf>
    <xf numFmtId="0" fontId="11" fillId="0" borderId="77" xfId="0" applyFont="1" applyBorder="1" applyAlignment="1" applyProtection="1">
      <alignment horizontal="center" textRotation="90" wrapText="1"/>
      <protection hidden="1"/>
    </xf>
    <xf numFmtId="0" fontId="11" fillId="0" borderId="147" xfId="0" applyFont="1" applyBorder="1" applyAlignment="1" applyProtection="1">
      <alignment horizontal="center" textRotation="90" wrapText="1"/>
      <protection hidden="1"/>
    </xf>
    <xf numFmtId="0" fontId="53" fillId="0" borderId="77" xfId="0" applyFont="1" applyBorder="1" applyAlignment="1" applyProtection="1">
      <alignment horizontal="center" vertical="center" textRotation="90" wrapText="1"/>
      <protection hidden="1"/>
    </xf>
    <xf numFmtId="0" fontId="0" fillId="0" borderId="51" xfId="0" applyBorder="1" applyAlignment="1" applyProtection="1">
      <alignment horizontal="center" vertical="center" textRotation="90" wrapText="1"/>
      <protection hidden="1"/>
    </xf>
    <xf numFmtId="0" fontId="27" fillId="4" borderId="14" xfId="0" applyFont="1" applyFill="1" applyBorder="1" applyAlignment="1" applyProtection="1">
      <alignment horizontal="center"/>
      <protection locked="0" hidden="1"/>
    </xf>
    <xf numFmtId="0" fontId="27" fillId="4" borderId="12" xfId="0" applyFont="1" applyFill="1" applyBorder="1" applyAlignment="1" applyProtection="1">
      <alignment horizontal="center"/>
      <protection locked="0" hidden="1"/>
    </xf>
    <xf numFmtId="0" fontId="32" fillId="0" borderId="19" xfId="0" applyFont="1" applyBorder="1" applyProtection="1">
      <protection hidden="1"/>
    </xf>
    <xf numFmtId="0" fontId="32" fillId="0" borderId="20" xfId="0" applyFont="1" applyBorder="1" applyProtection="1">
      <protection hidden="1"/>
    </xf>
    <xf numFmtId="0" fontId="32" fillId="0" borderId="29" xfId="0" applyFont="1" applyBorder="1" applyProtection="1">
      <protection hidden="1"/>
    </xf>
    <xf numFmtId="0" fontId="32" fillId="0" borderId="27" xfId="0" applyFont="1" applyBorder="1" applyProtection="1">
      <protection hidden="1"/>
    </xf>
    <xf numFmtId="0" fontId="32" fillId="0" borderId="7" xfId="0" applyFont="1" applyBorder="1" applyProtection="1">
      <protection hidden="1"/>
    </xf>
    <xf numFmtId="0" fontId="32" fillId="0" borderId="31" xfId="0" applyFont="1" applyBorder="1" applyProtection="1">
      <protection hidden="1"/>
    </xf>
    <xf numFmtId="0" fontId="15" fillId="3" borderId="49" xfId="0" applyFont="1" applyFill="1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vertical="center"/>
      <protection hidden="1"/>
    </xf>
    <xf numFmtId="1" fontId="11" fillId="0" borderId="8" xfId="0" applyNumberFormat="1" applyFont="1" applyFill="1" applyBorder="1" applyAlignment="1" applyProtection="1">
      <alignment horizontal="center"/>
      <protection hidden="1"/>
    </xf>
    <xf numFmtId="1" fontId="11" fillId="0" borderId="63" xfId="0" applyNumberFormat="1" applyFont="1" applyFill="1" applyBorder="1" applyAlignment="1" applyProtection="1">
      <alignment horizontal="center"/>
      <protection hidden="1"/>
    </xf>
    <xf numFmtId="0" fontId="27" fillId="4" borderId="97" xfId="0" applyFont="1" applyFill="1" applyBorder="1" applyAlignment="1" applyProtection="1">
      <alignment horizontal="center" vertical="center"/>
      <protection locked="0" hidden="1"/>
    </xf>
    <xf numFmtId="0" fontId="0" fillId="4" borderId="96" xfId="0" applyFill="1" applyBorder="1" applyAlignment="1" applyProtection="1">
      <alignment vertical="center"/>
      <protection locked="0" hidden="1"/>
    </xf>
    <xf numFmtId="0" fontId="0" fillId="0" borderId="27" xfId="0" applyBorder="1" applyAlignment="1" applyProtection="1">
      <alignment vertical="center"/>
      <protection locked="0" hidden="1"/>
    </xf>
    <xf numFmtId="0" fontId="0" fillId="0" borderId="31" xfId="0" applyBorder="1" applyAlignment="1" applyProtection="1">
      <alignment vertical="center"/>
      <protection locked="0" hidden="1"/>
    </xf>
    <xf numFmtId="0" fontId="11" fillId="6" borderId="7" xfId="0" applyFont="1" applyFill="1" applyBorder="1" applyProtection="1">
      <protection locked="0" hidden="1"/>
    </xf>
    <xf numFmtId="0" fontId="0" fillId="6" borderId="7" xfId="0" applyFill="1" applyBorder="1" applyProtection="1">
      <protection locked="0" hidden="1"/>
    </xf>
    <xf numFmtId="0" fontId="0" fillId="6" borderId="31" xfId="0" applyFill="1" applyBorder="1" applyProtection="1">
      <protection locked="0" hidden="1"/>
    </xf>
    <xf numFmtId="1" fontId="11" fillId="0" borderId="25" xfId="0" applyNumberFormat="1" applyFont="1" applyFill="1" applyBorder="1" applyAlignment="1" applyProtection="1">
      <alignment horizont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vertical="center"/>
      <protection hidden="1"/>
    </xf>
    <xf numFmtId="0" fontId="11" fillId="4" borderId="10" xfId="0" applyFont="1" applyFill="1" applyBorder="1" applyAlignment="1" applyProtection="1">
      <alignment horizontal="center" vertical="center"/>
      <protection locked="0" hidden="1"/>
    </xf>
    <xf numFmtId="0" fontId="11" fillId="4" borderId="60" xfId="0" applyFont="1" applyFill="1" applyBorder="1" applyAlignment="1" applyProtection="1">
      <alignment horizontal="center" vertical="center"/>
      <protection locked="0" hidden="1"/>
    </xf>
    <xf numFmtId="164" fontId="15" fillId="3" borderId="49" xfId="0" applyNumberFormat="1" applyFont="1" applyFill="1" applyBorder="1" applyAlignment="1" applyProtection="1">
      <alignment horizontal="center"/>
      <protection hidden="1"/>
    </xf>
    <xf numFmtId="0" fontId="15" fillId="3" borderId="51" xfId="0" applyFont="1" applyFill="1" applyBorder="1" applyAlignment="1" applyProtection="1">
      <alignment horizontal="center"/>
      <protection hidden="1"/>
    </xf>
    <xf numFmtId="1" fontId="27" fillId="8" borderId="10" xfId="0" applyNumberFormat="1" applyFont="1" applyFill="1" applyBorder="1" applyAlignment="1" applyProtection="1">
      <alignment horizontal="center"/>
      <protection hidden="1"/>
    </xf>
    <xf numFmtId="1" fontId="27" fillId="8" borderId="60" xfId="0" applyNumberFormat="1" applyFont="1" applyFill="1" applyBorder="1" applyAlignment="1" applyProtection="1">
      <alignment horizontal="center"/>
      <protection hidden="1"/>
    </xf>
    <xf numFmtId="1" fontId="11" fillId="2" borderId="10" xfId="0" applyNumberFormat="1" applyFont="1" applyFill="1" applyBorder="1" applyAlignment="1" applyProtection="1">
      <alignment horizontal="center" vertical="center"/>
      <protection hidden="1"/>
    </xf>
    <xf numFmtId="1" fontId="11" fillId="2" borderId="60" xfId="0" applyNumberFormat="1" applyFont="1" applyFill="1" applyBorder="1" applyAlignment="1" applyProtection="1">
      <alignment horizontal="center" vertical="center"/>
      <protection hidden="1"/>
    </xf>
    <xf numFmtId="0" fontId="11" fillId="3" borderId="8" xfId="0" applyFont="1" applyFill="1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vertical="center"/>
      <protection hidden="1"/>
    </xf>
    <xf numFmtId="0" fontId="15" fillId="0" borderId="49" xfId="0" applyFont="1" applyBorder="1" applyAlignment="1" applyProtection="1">
      <alignment horizontal="center" vertical="center" wrapText="1"/>
      <protection hidden="1"/>
    </xf>
    <xf numFmtId="0" fontId="15" fillId="0" borderId="51" xfId="0" applyFont="1" applyBorder="1" applyAlignment="1" applyProtection="1">
      <alignment horizontal="center" vertical="center" wrapText="1"/>
      <protection hidden="1"/>
    </xf>
    <xf numFmtId="0" fontId="44" fillId="0" borderId="50" xfId="0" applyFont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horizontal="right" indent="1"/>
      <protection hidden="1"/>
    </xf>
    <xf numFmtId="0" fontId="11" fillId="0" borderId="62" xfId="0" applyFont="1" applyBorder="1" applyAlignment="1" applyProtection="1">
      <alignment horizontal="right" indent="1"/>
      <protection hidden="1"/>
    </xf>
    <xf numFmtId="0" fontId="11" fillId="6" borderId="14" xfId="0" applyFont="1" applyFill="1" applyBorder="1" applyAlignment="1" applyProtection="1">
      <alignment horizontal="center"/>
      <protection locked="0" hidden="1"/>
    </xf>
    <xf numFmtId="0" fontId="11" fillId="4" borderId="12" xfId="0" applyFont="1" applyFill="1" applyBorder="1" applyAlignment="1" applyProtection="1">
      <alignment horizontal="center"/>
      <protection locked="0" hidden="1"/>
    </xf>
    <xf numFmtId="0" fontId="0" fillId="0" borderId="62" xfId="0" applyBorder="1" applyAlignment="1" applyProtection="1">
      <alignment horizontal="center"/>
      <protection hidden="1"/>
    </xf>
    <xf numFmtId="0" fontId="11" fillId="0" borderId="62" xfId="0" applyFont="1" applyBorder="1" applyAlignment="1" applyProtection="1">
      <alignment horizontal="right"/>
      <protection hidden="1"/>
    </xf>
    <xf numFmtId="0" fontId="0" fillId="0" borderId="11" xfId="0" applyBorder="1" applyAlignment="1" applyProtection="1">
      <alignment horizontal="right" indent="1"/>
      <protection hidden="1"/>
    </xf>
    <xf numFmtId="0" fontId="0" fillId="0" borderId="62" xfId="0" applyBorder="1" applyAlignment="1" applyProtection="1">
      <alignment horizontal="right" indent="1"/>
      <protection hidden="1"/>
    </xf>
    <xf numFmtId="49" fontId="3" fillId="0" borderId="118" xfId="0" applyNumberFormat="1" applyFont="1" applyBorder="1" applyAlignment="1" applyProtection="1">
      <alignment horizontal="left"/>
      <protection hidden="1"/>
    </xf>
    <xf numFmtId="0" fontId="3" fillId="0" borderId="118" xfId="0" applyFont="1" applyBorder="1" applyAlignment="1" applyProtection="1">
      <alignment horizontal="left"/>
      <protection hidden="1"/>
    </xf>
    <xf numFmtId="0" fontId="27" fillId="0" borderId="11" xfId="0" applyFont="1" applyBorder="1" applyProtection="1">
      <protection hidden="1"/>
    </xf>
    <xf numFmtId="0" fontId="27" fillId="0" borderId="60" xfId="0" applyFont="1" applyBorder="1" applyProtection="1">
      <protection hidden="1"/>
    </xf>
    <xf numFmtId="0" fontId="10" fillId="0" borderId="7" xfId="0" applyFont="1" applyBorder="1" applyAlignment="1" applyProtection="1">
      <alignment horizontal="left" wrapText="1"/>
      <protection hidden="1"/>
    </xf>
    <xf numFmtId="1" fontId="11" fillId="8" borderId="14" xfId="0" applyNumberFormat="1" applyFont="1" applyFill="1" applyBorder="1" applyAlignment="1" applyProtection="1">
      <alignment horizontal="center"/>
      <protection hidden="1"/>
    </xf>
    <xf numFmtId="0" fontId="11" fillId="8" borderId="60" xfId="0" applyFont="1" applyFill="1" applyBorder="1" applyAlignment="1" applyProtection="1">
      <alignment horizontal="center"/>
      <protection hidden="1"/>
    </xf>
    <xf numFmtId="0" fontId="4" fillId="0" borderId="29" xfId="0" applyFont="1" applyBorder="1" applyProtection="1">
      <protection hidden="1"/>
    </xf>
    <xf numFmtId="0" fontId="4" fillId="0" borderId="31" xfId="0" applyFont="1" applyBorder="1" applyProtection="1">
      <protection hidden="1"/>
    </xf>
    <xf numFmtId="0" fontId="27" fillId="4" borderId="25" xfId="0" applyFont="1" applyFill="1" applyBorder="1" applyAlignment="1" applyProtection="1">
      <alignment horizontal="center"/>
      <protection locked="0" hidden="1"/>
    </xf>
    <xf numFmtId="0" fontId="27" fillId="4" borderId="46" xfId="0" applyFont="1" applyFill="1" applyBorder="1" applyAlignment="1" applyProtection="1">
      <alignment horizontal="center"/>
      <protection locked="0" hidden="1"/>
    </xf>
    <xf numFmtId="0" fontId="11" fillId="0" borderId="63" xfId="0" applyFont="1" applyBorder="1" applyProtection="1">
      <protection hidden="1"/>
    </xf>
    <xf numFmtId="0" fontId="0" fillId="0" borderId="11" xfId="0" applyBorder="1"/>
    <xf numFmtId="0" fontId="0" fillId="0" borderId="62" xfId="0" applyBorder="1" applyProtection="1">
      <protection hidden="1"/>
    </xf>
    <xf numFmtId="0" fontId="27" fillId="0" borderId="8" xfId="0" applyFont="1" applyBorder="1" applyProtection="1">
      <protection hidden="1"/>
    </xf>
    <xf numFmtId="0" fontId="11" fillId="4" borderId="97" xfId="0" applyFont="1" applyFill="1" applyBorder="1" applyAlignment="1" applyProtection="1">
      <alignment horizontal="center" vertical="center"/>
      <protection locked="0" hidden="1"/>
    </xf>
    <xf numFmtId="0" fontId="11" fillId="4" borderId="96" xfId="0" applyFont="1" applyFill="1" applyBorder="1" applyAlignment="1" applyProtection="1">
      <alignment horizontal="center" vertical="center"/>
      <protection locked="0" hidden="1"/>
    </xf>
    <xf numFmtId="0" fontId="0" fillId="0" borderId="27" xfId="0" applyBorder="1" applyAlignment="1" applyProtection="1">
      <alignment horizontal="center" vertical="center"/>
      <protection locked="0" hidden="1"/>
    </xf>
    <xf numFmtId="0" fontId="0" fillId="0" borderId="31" xfId="0" applyBorder="1" applyAlignment="1" applyProtection="1">
      <alignment horizontal="center" vertical="center"/>
      <protection locked="0" hidden="1"/>
    </xf>
    <xf numFmtId="0" fontId="0" fillId="6" borderId="138" xfId="0" applyFill="1" applyBorder="1" applyProtection="1">
      <protection locked="0" hidden="1"/>
    </xf>
    <xf numFmtId="0" fontId="11" fillId="4" borderId="25" xfId="0" applyFont="1" applyFill="1" applyBorder="1" applyAlignment="1" applyProtection="1">
      <alignment horizontal="center"/>
      <protection locked="0" hidden="1"/>
    </xf>
    <xf numFmtId="0" fontId="11" fillId="4" borderId="46" xfId="0" applyFont="1" applyFill="1" applyBorder="1" applyAlignment="1" applyProtection="1">
      <alignment horizontal="center"/>
      <protection locked="0" hidden="1"/>
    </xf>
    <xf numFmtId="1" fontId="15" fillId="2" borderId="49" xfId="0" applyNumberFormat="1" applyFont="1" applyFill="1" applyBorder="1" applyAlignment="1" applyProtection="1">
      <alignment horizontal="center" vertical="center"/>
      <protection hidden="1"/>
    </xf>
    <xf numFmtId="1" fontId="15" fillId="2" borderId="51" xfId="0" applyNumberFormat="1" applyFont="1" applyFill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/>
      <protection hidden="1"/>
    </xf>
    <xf numFmtId="1" fontId="11" fillId="6" borderId="14" xfId="0" applyNumberFormat="1" applyFont="1" applyFill="1" applyBorder="1" applyAlignment="1" applyProtection="1">
      <alignment horizontal="center"/>
      <protection locked="0"/>
    </xf>
    <xf numFmtId="1" fontId="11" fillId="6" borderId="60" xfId="0" applyNumberFormat="1" applyFont="1" applyFill="1" applyBorder="1" applyAlignment="1" applyProtection="1">
      <alignment horizontal="center"/>
      <protection locked="0"/>
    </xf>
    <xf numFmtId="1" fontId="11" fillId="6" borderId="10" xfId="0" applyNumberFormat="1" applyFont="1" applyFill="1" applyBorder="1" applyAlignment="1" applyProtection="1">
      <alignment horizontal="center"/>
      <protection locked="0"/>
    </xf>
    <xf numFmtId="1" fontId="11" fillId="8" borderId="60" xfId="0" applyNumberFormat="1" applyFont="1" applyFill="1" applyBorder="1" applyAlignment="1" applyProtection="1">
      <alignment horizontal="center"/>
      <protection hidden="1"/>
    </xf>
    <xf numFmtId="1" fontId="11" fillId="8" borderId="10" xfId="0" applyNumberFormat="1" applyFont="1" applyFill="1" applyBorder="1" applyAlignment="1" applyProtection="1">
      <alignment horizontal="center"/>
      <protection hidden="1"/>
    </xf>
    <xf numFmtId="0" fontId="4" fillId="6" borderId="7" xfId="0" applyFont="1" applyFill="1" applyBorder="1" applyProtection="1">
      <protection locked="0" hidden="1"/>
    </xf>
    <xf numFmtId="0" fontId="4" fillId="6" borderId="31" xfId="0" applyFont="1" applyFill="1" applyBorder="1" applyProtection="1">
      <protection locked="0" hidden="1"/>
    </xf>
    <xf numFmtId="0" fontId="15" fillId="0" borderId="49" xfId="0" applyFont="1" applyBorder="1" applyAlignment="1" applyProtection="1">
      <alignment horizontal="center" wrapText="1"/>
      <protection hidden="1"/>
    </xf>
    <xf numFmtId="0" fontId="15" fillId="0" borderId="51" xfId="0" applyFont="1" applyBorder="1" applyAlignment="1" applyProtection="1">
      <alignment horizontal="center" wrapText="1"/>
      <protection hidden="1"/>
    </xf>
    <xf numFmtId="14" fontId="3" fillId="0" borderId="32" xfId="0" applyNumberFormat="1" applyFont="1" applyBorder="1" applyAlignment="1" applyProtection="1">
      <alignment horizontal="left" wrapText="1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0" fillId="0" borderId="0" xfId="0" applyAlignment="1"/>
    <xf numFmtId="0" fontId="72" fillId="0" borderId="37" xfId="0" applyFont="1" applyBorder="1" applyAlignment="1" applyProtection="1">
      <alignment horizontal="center"/>
      <protection hidden="1"/>
    </xf>
    <xf numFmtId="0" fontId="73" fillId="0" borderId="38" xfId="0" applyFont="1" applyBorder="1" applyAlignment="1" applyProtection="1">
      <alignment horizontal="center"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35" fillId="0" borderId="14" xfId="0" applyFont="1" applyFill="1" applyBorder="1" applyAlignment="1" applyProtection="1">
      <alignment horizontal="center"/>
      <protection hidden="1"/>
    </xf>
    <xf numFmtId="0" fontId="53" fillId="0" borderId="34" xfId="0" applyFont="1" applyBorder="1" applyAlignment="1" applyProtection="1">
      <alignment horizontal="center"/>
      <protection hidden="1"/>
    </xf>
    <xf numFmtId="0" fontId="53" fillId="0" borderId="35" xfId="0" applyFont="1" applyBorder="1" applyAlignment="1" applyProtection="1">
      <alignment horizontal="center"/>
      <protection hidden="1"/>
    </xf>
    <xf numFmtId="0" fontId="53" fillId="0" borderId="37" xfId="0" applyFont="1" applyBorder="1" applyAlignment="1" applyProtection="1">
      <alignment horizontal="center"/>
      <protection hidden="1"/>
    </xf>
    <xf numFmtId="0" fontId="53" fillId="0" borderId="38" xfId="0" applyFont="1" applyBorder="1" applyAlignment="1" applyProtection="1">
      <alignment horizontal="center"/>
      <protection hidden="1"/>
    </xf>
    <xf numFmtId="0" fontId="4" fillId="0" borderId="25" xfId="0" applyFont="1" applyFill="1" applyBorder="1" applyAlignment="1" applyProtection="1">
      <alignment horizontal="left" wrapText="1"/>
      <protection hidden="1"/>
    </xf>
    <xf numFmtId="0" fontId="0" fillId="0" borderId="9" xfId="0" applyFill="1" applyBorder="1" applyAlignment="1" applyProtection="1">
      <alignment horizontal="left"/>
      <protection hidden="1"/>
    </xf>
    <xf numFmtId="0" fontId="0" fillId="0" borderId="63" xfId="0" applyBorder="1" applyAlignment="1"/>
    <xf numFmtId="0" fontId="103" fillId="0" borderId="22" xfId="0" applyFont="1" applyBorder="1" applyAlignment="1" applyProtection="1">
      <alignment horizontal="center" vertical="center" wrapText="1"/>
      <protection hidden="1"/>
    </xf>
    <xf numFmtId="0" fontId="87" fillId="0" borderId="22" xfId="0" applyFont="1" applyBorder="1" applyAlignment="1">
      <alignment horizontal="center" vertical="center" wrapText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1" fillId="0" borderId="33" xfId="0" applyFont="1" applyBorder="1" applyAlignment="1" applyProtection="1">
      <alignment vertical="center" wrapText="1"/>
      <protection hidden="1"/>
    </xf>
    <xf numFmtId="0" fontId="1" fillId="0" borderId="36" xfId="0" applyFont="1" applyBorder="1" applyAlignment="1" applyProtection="1">
      <alignment vertical="center" wrapText="1"/>
      <protection hidden="1"/>
    </xf>
    <xf numFmtId="0" fontId="1" fillId="0" borderId="39" xfId="0" applyFont="1" applyBorder="1" applyAlignment="1" applyProtection="1">
      <alignment vertical="center" wrapText="1"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72" fillId="0" borderId="37" xfId="0" applyFont="1" applyBorder="1" applyAlignment="1" applyProtection="1">
      <alignment horizontal="center" wrapText="1"/>
      <protection hidden="1"/>
    </xf>
    <xf numFmtId="0" fontId="73" fillId="0" borderId="38" xfId="0" applyFont="1" applyBorder="1" applyAlignment="1" applyProtection="1">
      <alignment horizontal="center" wrapText="1"/>
      <protection hidden="1"/>
    </xf>
    <xf numFmtId="0" fontId="72" fillId="0" borderId="38" xfId="0" applyFont="1" applyBorder="1" applyAlignment="1" applyProtection="1">
      <alignment horizontal="center"/>
      <protection hidden="1"/>
    </xf>
    <xf numFmtId="0" fontId="72" fillId="0" borderId="40" xfId="0" applyFont="1" applyBorder="1" applyAlignment="1" applyProtection="1">
      <alignment horizontal="center" wrapText="1"/>
      <protection hidden="1"/>
    </xf>
    <xf numFmtId="0" fontId="73" fillId="0" borderId="41" xfId="0" applyFont="1" applyBorder="1" applyAlignment="1" applyProtection="1">
      <alignment horizontal="center" wrapText="1"/>
      <protection hidden="1"/>
    </xf>
    <xf numFmtId="0" fontId="74" fillId="0" borderId="40" xfId="0" applyFont="1" applyBorder="1" applyAlignment="1" applyProtection="1">
      <alignment horizontal="center"/>
      <protection hidden="1"/>
    </xf>
    <xf numFmtId="0" fontId="73" fillId="0" borderId="41" xfId="0" applyFont="1" applyBorder="1" applyAlignment="1" applyProtection="1">
      <alignment horizontal="center"/>
      <protection hidden="1"/>
    </xf>
    <xf numFmtId="0" fontId="1" fillId="0" borderId="33" xfId="0" applyFont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4" fillId="0" borderId="149" xfId="0" applyFont="1" applyBorder="1" applyAlignment="1" applyProtection="1">
      <alignment horizontal="left" vertical="center"/>
      <protection hidden="1"/>
    </xf>
    <xf numFmtId="0" fontId="0" fillId="0" borderId="150" xfId="0" applyBorder="1" applyAlignment="1" applyProtection="1">
      <alignment horizontal="left" vertical="center"/>
      <protection hidden="1"/>
    </xf>
    <xf numFmtId="0" fontId="0" fillId="0" borderId="151" xfId="0" applyBorder="1" applyAlignment="1" applyProtection="1">
      <alignment horizontal="left" vertical="center"/>
      <protection hidden="1"/>
    </xf>
    <xf numFmtId="0" fontId="4" fillId="0" borderId="28" xfId="0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53" fillId="0" borderId="14" xfId="0" applyFont="1" applyFill="1" applyBorder="1" applyAlignment="1" applyProtection="1">
      <alignment horizontal="left"/>
      <protection hidden="1"/>
    </xf>
    <xf numFmtId="0" fontId="53" fillId="0" borderId="12" xfId="0" applyFont="1" applyFill="1" applyBorder="1" applyProtection="1"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53" fillId="0" borderId="14" xfId="0" applyFont="1" applyFill="1" applyBorder="1" applyAlignment="1" applyProtection="1">
      <alignment horizontal="center"/>
      <protection hidden="1"/>
    </xf>
    <xf numFmtId="0" fontId="53" fillId="0" borderId="12" xfId="0" applyFont="1" applyFill="1" applyBorder="1" applyAlignment="1" applyProtection="1">
      <alignment horizontal="center"/>
      <protection hidden="1"/>
    </xf>
    <xf numFmtId="0" fontId="14" fillId="0" borderId="14" xfId="0" applyFont="1" applyFill="1" applyBorder="1" applyAlignment="1" applyProtection="1">
      <alignment horizontal="center"/>
      <protection hidden="1"/>
    </xf>
    <xf numFmtId="0" fontId="0" fillId="0" borderId="12" xfId="0" applyFill="1" applyBorder="1" applyProtection="1">
      <protection hidden="1"/>
    </xf>
    <xf numFmtId="0" fontId="53" fillId="0" borderId="14" xfId="0" applyFont="1" applyBorder="1" applyAlignment="1" applyProtection="1">
      <alignment horizontal="center"/>
      <protection hidden="1"/>
    </xf>
    <xf numFmtId="0" fontId="53" fillId="0" borderId="12" xfId="0" applyFont="1" applyBorder="1" applyAlignment="1" applyProtection="1">
      <alignment horizontal="center"/>
      <protection hidden="1"/>
    </xf>
    <xf numFmtId="1" fontId="0" fillId="0" borderId="14" xfId="0" applyNumberFormat="1" applyBorder="1" applyAlignment="1" applyProtection="1">
      <alignment horizontal="center"/>
      <protection hidden="1"/>
    </xf>
    <xf numFmtId="1" fontId="0" fillId="0" borderId="12" xfId="0" applyNumberForma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35" fillId="0" borderId="34" xfId="0" applyFont="1" applyBorder="1" applyAlignment="1" applyProtection="1">
      <alignment horizontal="center"/>
      <protection hidden="1"/>
    </xf>
    <xf numFmtId="0" fontId="35" fillId="0" borderId="14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12" xfId="0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 horizontal="left"/>
      <protection hidden="1"/>
    </xf>
    <xf numFmtId="0" fontId="35" fillId="0" borderId="53" xfId="0" applyFont="1" applyBorder="1" applyAlignment="1" applyProtection="1">
      <alignment horizontal="center"/>
      <protection hidden="1"/>
    </xf>
    <xf numFmtId="0" fontId="0" fillId="0" borderId="12" xfId="0" applyBorder="1" applyAlignment="1">
      <alignment horizontal="center"/>
    </xf>
    <xf numFmtId="0" fontId="0" fillId="0" borderId="53" xfId="0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</cellXfs>
  <cellStyles count="3">
    <cellStyle name="Standard" xfId="0" builtinId="0"/>
    <cellStyle name="Standard_Tabelle1" xfId="1"/>
    <cellStyle name="Standard_Tabelle3" xfId="2"/>
  </cellStyles>
  <dxfs count="13">
    <dxf>
      <font>
        <color theme="0"/>
      </font>
    </dxf>
    <dxf>
      <fill>
        <patternFill patternType="solid">
          <bgColor rgb="FFF6C90A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S39" lockText="1" noThreeD="1"/>
</file>

<file path=xl/ctrlProps/ctrlProp10.xml><?xml version="1.0" encoding="utf-8"?>
<formControlPr xmlns="http://schemas.microsoft.com/office/spreadsheetml/2009/9/main" objectType="CheckBox" checked="Checked" fmlaLink="T27" lockText="1" noThreeD="1"/>
</file>

<file path=xl/ctrlProps/ctrlProp11.xml><?xml version="1.0" encoding="utf-8"?>
<formControlPr xmlns="http://schemas.microsoft.com/office/spreadsheetml/2009/9/main" objectType="CheckBox" fmlaLink="$S$13" lockText="1" noThreeD="1"/>
</file>

<file path=xl/ctrlProps/ctrlProp12.xml><?xml version="1.0" encoding="utf-8"?>
<formControlPr xmlns="http://schemas.microsoft.com/office/spreadsheetml/2009/9/main" objectType="CheckBox" fmlaLink="$S$27" lockText="1" noThreeD="1"/>
</file>

<file path=xl/ctrlProps/ctrlProp2.xml><?xml version="1.0" encoding="utf-8"?>
<formControlPr xmlns="http://schemas.microsoft.com/office/spreadsheetml/2009/9/main" objectType="CheckBox" fmlaLink="T39" lockText="1" noThreeD="1"/>
</file>

<file path=xl/ctrlProps/ctrlProp3.xml><?xml version="1.0" encoding="utf-8"?>
<formControlPr xmlns="http://schemas.microsoft.com/office/spreadsheetml/2009/9/main" objectType="CheckBox" fmlaLink="S40" lockText="1" noThreeD="1"/>
</file>

<file path=xl/ctrlProps/ctrlProp4.xml><?xml version="1.0" encoding="utf-8"?>
<formControlPr xmlns="http://schemas.microsoft.com/office/spreadsheetml/2009/9/main" objectType="CheckBox" fmlaLink="S41" lockText="1" noThreeD="1"/>
</file>

<file path=xl/ctrlProps/ctrlProp5.xml><?xml version="1.0" encoding="utf-8"?>
<formControlPr xmlns="http://schemas.microsoft.com/office/spreadsheetml/2009/9/main" objectType="CheckBox" fmlaLink="T40" lockText="1" noThreeD="1"/>
</file>

<file path=xl/ctrlProps/ctrlProp6.xml><?xml version="1.0" encoding="utf-8"?>
<formControlPr xmlns="http://schemas.microsoft.com/office/spreadsheetml/2009/9/main" objectType="CheckBox" fmlaLink="T41" lockText="1" noThreeD="1"/>
</file>

<file path=xl/ctrlProps/ctrlProp7.xml><?xml version="1.0" encoding="utf-8"?>
<formControlPr xmlns="http://schemas.microsoft.com/office/spreadsheetml/2009/9/main" objectType="CheckBox" fmlaLink="$S$35" lockText="1" noThreeD="1"/>
</file>

<file path=xl/ctrlProps/ctrlProp8.xml><?xml version="1.0" encoding="utf-8"?>
<formControlPr xmlns="http://schemas.microsoft.com/office/spreadsheetml/2009/9/main" objectType="CheckBox" fmlaLink="$S$43" lockText="1" noThreeD="1"/>
</file>

<file path=xl/ctrlProps/ctrlProp9.xml><?xml version="1.0" encoding="utf-8"?>
<formControlPr xmlns="http://schemas.microsoft.com/office/spreadsheetml/2009/9/main" objectType="CheckBox" fmlaLink="$T$43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371475</xdr:rowOff>
    </xdr:from>
    <xdr:to>
      <xdr:col>8</xdr:col>
      <xdr:colOff>38100</xdr:colOff>
      <xdr:row>0</xdr:row>
      <xdr:rowOff>1019175</xdr:rowOff>
    </xdr:to>
    <xdr:grpSp>
      <xdr:nvGrpSpPr>
        <xdr:cNvPr id="40946" name="Group 138"/>
        <xdr:cNvGrpSpPr>
          <a:grpSpLocks noChangeAspect="1"/>
        </xdr:cNvGrpSpPr>
      </xdr:nvGrpSpPr>
      <xdr:grpSpPr bwMode="auto">
        <a:xfrm>
          <a:off x="133350" y="371475"/>
          <a:ext cx="4867275" cy="647700"/>
          <a:chOff x="55" y="41"/>
          <a:chExt cx="321" cy="43"/>
        </a:xfrm>
      </xdr:grpSpPr>
      <xdr:sp macro="" textlink="">
        <xdr:nvSpPr>
          <xdr:cNvPr id="40947" name="AutoShape 137"/>
          <xdr:cNvSpPr>
            <a:spLocks noChangeAspect="1" noChangeArrowheads="1" noTextEdit="1"/>
          </xdr:cNvSpPr>
        </xdr:nvSpPr>
        <xdr:spPr bwMode="auto">
          <a:xfrm>
            <a:off x="55" y="41"/>
            <a:ext cx="321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grpSp>
        <xdr:nvGrpSpPr>
          <xdr:cNvPr id="40948" name="Group 141"/>
          <xdr:cNvGrpSpPr>
            <a:grpSpLocks/>
          </xdr:cNvGrpSpPr>
        </xdr:nvGrpSpPr>
        <xdr:grpSpPr bwMode="auto">
          <a:xfrm>
            <a:off x="55" y="41"/>
            <a:ext cx="34" cy="43"/>
            <a:chOff x="55" y="41"/>
            <a:chExt cx="34" cy="43"/>
          </a:xfrm>
        </xdr:grpSpPr>
        <xdr:pic>
          <xdr:nvPicPr>
            <xdr:cNvPr id="49170" name="Grafik 7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5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9171" name="Grafik 7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5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73" name="Rectangle 142">
            <a:extLst/>
          </xdr:cNvPr>
          <xdr:cNvSpPr>
            <a:spLocks noChangeArrowheads="1"/>
          </xdr:cNvSpPr>
        </xdr:nvSpPr>
        <xdr:spPr bwMode="auto">
          <a:xfrm>
            <a:off x="89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0950" name="Group 145"/>
          <xdr:cNvGrpSpPr>
            <a:grpSpLocks/>
          </xdr:cNvGrpSpPr>
        </xdr:nvGrpSpPr>
        <xdr:grpSpPr bwMode="auto">
          <a:xfrm>
            <a:off x="93" y="41"/>
            <a:ext cx="34" cy="43"/>
            <a:chOff x="93" y="41"/>
            <a:chExt cx="34" cy="43"/>
          </a:xfrm>
        </xdr:grpSpPr>
        <xdr:pic>
          <xdr:nvPicPr>
            <xdr:cNvPr id="49168" name="Grafik 6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3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9169" name="Grafik 69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3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75" name="Rectangle 146">
            <a:extLst/>
          </xdr:cNvPr>
          <xdr:cNvSpPr>
            <a:spLocks noChangeArrowheads="1"/>
          </xdr:cNvSpPr>
        </xdr:nvSpPr>
        <xdr:spPr bwMode="auto">
          <a:xfrm>
            <a:off x="127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0952" name="Group 149"/>
          <xdr:cNvGrpSpPr>
            <a:grpSpLocks/>
          </xdr:cNvGrpSpPr>
        </xdr:nvGrpSpPr>
        <xdr:grpSpPr bwMode="auto">
          <a:xfrm>
            <a:off x="130" y="41"/>
            <a:ext cx="39" cy="43"/>
            <a:chOff x="130" y="41"/>
            <a:chExt cx="39" cy="43"/>
          </a:xfrm>
        </xdr:grpSpPr>
        <xdr:pic>
          <xdr:nvPicPr>
            <xdr:cNvPr id="49166" name="Grafik 6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0" y="41"/>
              <a:ext cx="39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9167" name="Grafik 6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0" y="41"/>
              <a:ext cx="39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77" name="Rectangle 150">
            <a:extLst/>
          </xdr:cNvPr>
          <xdr:cNvSpPr>
            <a:spLocks noChangeArrowheads="1"/>
          </xdr:cNvSpPr>
        </xdr:nvSpPr>
        <xdr:spPr bwMode="auto">
          <a:xfrm>
            <a:off x="169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0954" name="Group 153"/>
          <xdr:cNvGrpSpPr>
            <a:grpSpLocks/>
          </xdr:cNvGrpSpPr>
        </xdr:nvGrpSpPr>
        <xdr:grpSpPr bwMode="auto">
          <a:xfrm>
            <a:off x="172" y="41"/>
            <a:ext cx="34" cy="43"/>
            <a:chOff x="172" y="41"/>
            <a:chExt cx="34" cy="43"/>
          </a:xfrm>
        </xdr:grpSpPr>
        <xdr:pic>
          <xdr:nvPicPr>
            <xdr:cNvPr id="49164" name="Grafik 64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2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9165" name="Grafik 6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2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79" name="Rectangle 154">
            <a:extLst/>
          </xdr:cNvPr>
          <xdr:cNvSpPr>
            <a:spLocks noChangeArrowheads="1"/>
          </xdr:cNvSpPr>
        </xdr:nvSpPr>
        <xdr:spPr bwMode="auto">
          <a:xfrm>
            <a:off x="205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0956" name="Group 157"/>
          <xdr:cNvGrpSpPr>
            <a:grpSpLocks/>
          </xdr:cNvGrpSpPr>
        </xdr:nvGrpSpPr>
        <xdr:grpSpPr bwMode="auto">
          <a:xfrm>
            <a:off x="210" y="41"/>
            <a:ext cx="35" cy="43"/>
            <a:chOff x="210" y="41"/>
            <a:chExt cx="35" cy="43"/>
          </a:xfrm>
        </xdr:grpSpPr>
        <xdr:pic>
          <xdr:nvPicPr>
            <xdr:cNvPr id="49162" name="Grafik 6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0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9163" name="Grafik 63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0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81" name="Rectangle 158">
            <a:extLst/>
          </xdr:cNvPr>
          <xdr:cNvSpPr>
            <a:spLocks noChangeArrowheads="1"/>
          </xdr:cNvSpPr>
        </xdr:nvSpPr>
        <xdr:spPr bwMode="auto">
          <a:xfrm>
            <a:off x="245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0958" name="Group 161"/>
          <xdr:cNvGrpSpPr>
            <a:grpSpLocks/>
          </xdr:cNvGrpSpPr>
        </xdr:nvGrpSpPr>
        <xdr:grpSpPr bwMode="auto">
          <a:xfrm>
            <a:off x="249" y="41"/>
            <a:ext cx="33" cy="43"/>
            <a:chOff x="249" y="41"/>
            <a:chExt cx="33" cy="43"/>
          </a:xfrm>
        </xdr:grpSpPr>
        <xdr:pic>
          <xdr:nvPicPr>
            <xdr:cNvPr id="49160" name="Grafik 6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49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9161" name="Grafik 6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49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83" name="Rectangle 162">
            <a:extLst/>
          </xdr:cNvPr>
          <xdr:cNvSpPr>
            <a:spLocks noChangeArrowheads="1"/>
          </xdr:cNvSpPr>
        </xdr:nvSpPr>
        <xdr:spPr bwMode="auto">
          <a:xfrm>
            <a:off x="282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9152" name="Group 165"/>
          <xdr:cNvGrpSpPr>
            <a:grpSpLocks/>
          </xdr:cNvGrpSpPr>
        </xdr:nvGrpSpPr>
        <xdr:grpSpPr bwMode="auto">
          <a:xfrm>
            <a:off x="286" y="41"/>
            <a:ext cx="33" cy="43"/>
            <a:chOff x="286" y="41"/>
            <a:chExt cx="33" cy="43"/>
          </a:xfrm>
        </xdr:grpSpPr>
        <xdr:pic>
          <xdr:nvPicPr>
            <xdr:cNvPr id="49158" name="Grafik 5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86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9159" name="Grafik 59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86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85" name="Rectangle 166">
            <a:extLst/>
          </xdr:cNvPr>
          <xdr:cNvSpPr>
            <a:spLocks noChangeArrowheads="1"/>
          </xdr:cNvSpPr>
        </xdr:nvSpPr>
        <xdr:spPr bwMode="auto">
          <a:xfrm>
            <a:off x="318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9154" name="Group 169"/>
          <xdr:cNvGrpSpPr>
            <a:grpSpLocks/>
          </xdr:cNvGrpSpPr>
        </xdr:nvGrpSpPr>
        <xdr:grpSpPr bwMode="auto">
          <a:xfrm>
            <a:off x="323" y="41"/>
            <a:ext cx="35" cy="43"/>
            <a:chOff x="323" y="41"/>
            <a:chExt cx="35" cy="43"/>
          </a:xfrm>
        </xdr:grpSpPr>
        <xdr:pic>
          <xdr:nvPicPr>
            <xdr:cNvPr id="49156" name="Grafik 5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23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9157" name="Grafik 5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23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87" name="Rectangle 170">
            <a:extLst/>
          </xdr:cNvPr>
          <xdr:cNvSpPr>
            <a:spLocks noChangeArrowheads="1"/>
          </xdr:cNvSpPr>
        </xdr:nvSpPr>
        <xdr:spPr bwMode="auto">
          <a:xfrm>
            <a:off x="358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47110" name="Text 3"/>
        <xdr:cNvSpPr txBox="1">
          <a:spLocks noChangeArrowheads="1"/>
        </xdr:cNvSpPr>
      </xdr:nvSpPr>
      <xdr:spPr bwMode="auto">
        <a:xfrm>
          <a:off x="419100" y="8743950"/>
          <a:ext cx="9563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152400</xdr:colOff>
      <xdr:row>0</xdr:row>
      <xdr:rowOff>228600</xdr:rowOff>
    </xdr:from>
    <xdr:to>
      <xdr:col>8</xdr:col>
      <xdr:colOff>428625</xdr:colOff>
      <xdr:row>0</xdr:row>
      <xdr:rowOff>876300</xdr:rowOff>
    </xdr:to>
    <xdr:grpSp>
      <xdr:nvGrpSpPr>
        <xdr:cNvPr id="47111" name="Group 138"/>
        <xdr:cNvGrpSpPr>
          <a:grpSpLocks noChangeAspect="1"/>
        </xdr:cNvGrpSpPr>
      </xdr:nvGrpSpPr>
      <xdr:grpSpPr bwMode="auto">
        <a:xfrm>
          <a:off x="152400" y="228600"/>
          <a:ext cx="4867275" cy="647700"/>
          <a:chOff x="55" y="41"/>
          <a:chExt cx="321" cy="43"/>
        </a:xfrm>
      </xdr:grpSpPr>
      <xdr:sp macro="" textlink="">
        <xdr:nvSpPr>
          <xdr:cNvPr id="47112" name="AutoShape 137"/>
          <xdr:cNvSpPr>
            <a:spLocks noChangeAspect="1" noChangeArrowheads="1" noTextEdit="1"/>
          </xdr:cNvSpPr>
        </xdr:nvSpPr>
        <xdr:spPr bwMode="auto">
          <a:xfrm>
            <a:off x="55" y="41"/>
            <a:ext cx="321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grpSp>
        <xdr:nvGrpSpPr>
          <xdr:cNvPr id="47113" name="Group 141"/>
          <xdr:cNvGrpSpPr>
            <a:grpSpLocks/>
          </xdr:cNvGrpSpPr>
        </xdr:nvGrpSpPr>
        <xdr:grpSpPr bwMode="auto">
          <a:xfrm>
            <a:off x="55" y="41"/>
            <a:ext cx="34" cy="43"/>
            <a:chOff x="55" y="41"/>
            <a:chExt cx="34" cy="43"/>
          </a:xfrm>
        </xdr:grpSpPr>
        <xdr:pic>
          <xdr:nvPicPr>
            <xdr:cNvPr id="47143" name="Grafik 7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5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7144" name="Grafik 7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5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41" name="Rectangle 142">
            <a:extLst/>
          </xdr:cNvPr>
          <xdr:cNvSpPr>
            <a:spLocks noChangeArrowheads="1"/>
          </xdr:cNvSpPr>
        </xdr:nvSpPr>
        <xdr:spPr bwMode="auto">
          <a:xfrm>
            <a:off x="89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7115" name="Group 145"/>
          <xdr:cNvGrpSpPr>
            <a:grpSpLocks/>
          </xdr:cNvGrpSpPr>
        </xdr:nvGrpSpPr>
        <xdr:grpSpPr bwMode="auto">
          <a:xfrm>
            <a:off x="93" y="41"/>
            <a:ext cx="34" cy="43"/>
            <a:chOff x="93" y="41"/>
            <a:chExt cx="34" cy="43"/>
          </a:xfrm>
        </xdr:grpSpPr>
        <xdr:pic>
          <xdr:nvPicPr>
            <xdr:cNvPr id="47141" name="Grafik 6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3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7142" name="Grafik 69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3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43" name="Rectangle 146">
            <a:extLst/>
          </xdr:cNvPr>
          <xdr:cNvSpPr>
            <a:spLocks noChangeArrowheads="1"/>
          </xdr:cNvSpPr>
        </xdr:nvSpPr>
        <xdr:spPr bwMode="auto">
          <a:xfrm>
            <a:off x="127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7117" name="Group 149"/>
          <xdr:cNvGrpSpPr>
            <a:grpSpLocks/>
          </xdr:cNvGrpSpPr>
        </xdr:nvGrpSpPr>
        <xdr:grpSpPr bwMode="auto">
          <a:xfrm>
            <a:off x="130" y="41"/>
            <a:ext cx="39" cy="43"/>
            <a:chOff x="130" y="41"/>
            <a:chExt cx="39" cy="43"/>
          </a:xfrm>
        </xdr:grpSpPr>
        <xdr:pic>
          <xdr:nvPicPr>
            <xdr:cNvPr id="47139" name="Grafik 6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0" y="41"/>
              <a:ext cx="39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7140" name="Grafik 6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0" y="41"/>
              <a:ext cx="39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45" name="Rectangle 150">
            <a:extLst/>
          </xdr:cNvPr>
          <xdr:cNvSpPr>
            <a:spLocks noChangeArrowheads="1"/>
          </xdr:cNvSpPr>
        </xdr:nvSpPr>
        <xdr:spPr bwMode="auto">
          <a:xfrm>
            <a:off x="169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7119" name="Group 153"/>
          <xdr:cNvGrpSpPr>
            <a:grpSpLocks/>
          </xdr:cNvGrpSpPr>
        </xdr:nvGrpSpPr>
        <xdr:grpSpPr bwMode="auto">
          <a:xfrm>
            <a:off x="172" y="41"/>
            <a:ext cx="34" cy="43"/>
            <a:chOff x="172" y="41"/>
            <a:chExt cx="34" cy="43"/>
          </a:xfrm>
        </xdr:grpSpPr>
        <xdr:pic>
          <xdr:nvPicPr>
            <xdr:cNvPr id="47137" name="Grafik 64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2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7138" name="Grafik 6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2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47" name="Rectangle 154">
            <a:extLst/>
          </xdr:cNvPr>
          <xdr:cNvSpPr>
            <a:spLocks noChangeArrowheads="1"/>
          </xdr:cNvSpPr>
        </xdr:nvSpPr>
        <xdr:spPr bwMode="auto">
          <a:xfrm>
            <a:off x="206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7121" name="Group 157"/>
          <xdr:cNvGrpSpPr>
            <a:grpSpLocks/>
          </xdr:cNvGrpSpPr>
        </xdr:nvGrpSpPr>
        <xdr:grpSpPr bwMode="auto">
          <a:xfrm>
            <a:off x="210" y="41"/>
            <a:ext cx="35" cy="43"/>
            <a:chOff x="210" y="41"/>
            <a:chExt cx="35" cy="43"/>
          </a:xfrm>
        </xdr:grpSpPr>
        <xdr:pic>
          <xdr:nvPicPr>
            <xdr:cNvPr id="47135" name="Grafik 6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0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7136" name="Grafik 63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0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49" name="Rectangle 158">
            <a:extLst/>
          </xdr:cNvPr>
          <xdr:cNvSpPr>
            <a:spLocks noChangeArrowheads="1"/>
          </xdr:cNvSpPr>
        </xdr:nvSpPr>
        <xdr:spPr bwMode="auto">
          <a:xfrm>
            <a:off x="244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7123" name="Group 161"/>
          <xdr:cNvGrpSpPr>
            <a:grpSpLocks/>
          </xdr:cNvGrpSpPr>
        </xdr:nvGrpSpPr>
        <xdr:grpSpPr bwMode="auto">
          <a:xfrm>
            <a:off x="249" y="41"/>
            <a:ext cx="33" cy="43"/>
            <a:chOff x="249" y="41"/>
            <a:chExt cx="33" cy="43"/>
          </a:xfrm>
        </xdr:grpSpPr>
        <xdr:pic>
          <xdr:nvPicPr>
            <xdr:cNvPr id="47133" name="Grafik 6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49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7134" name="Grafik 6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49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51" name="Rectangle 162">
            <a:extLst/>
          </xdr:cNvPr>
          <xdr:cNvSpPr>
            <a:spLocks noChangeArrowheads="1"/>
          </xdr:cNvSpPr>
        </xdr:nvSpPr>
        <xdr:spPr bwMode="auto">
          <a:xfrm>
            <a:off x="282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7125" name="Group 165"/>
          <xdr:cNvGrpSpPr>
            <a:grpSpLocks/>
          </xdr:cNvGrpSpPr>
        </xdr:nvGrpSpPr>
        <xdr:grpSpPr bwMode="auto">
          <a:xfrm>
            <a:off x="286" y="41"/>
            <a:ext cx="33" cy="43"/>
            <a:chOff x="286" y="41"/>
            <a:chExt cx="33" cy="43"/>
          </a:xfrm>
        </xdr:grpSpPr>
        <xdr:pic>
          <xdr:nvPicPr>
            <xdr:cNvPr id="47131" name="Grafik 5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86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7132" name="Grafik 59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86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53" name="Rectangle 166">
            <a:extLst/>
          </xdr:cNvPr>
          <xdr:cNvSpPr>
            <a:spLocks noChangeArrowheads="1"/>
          </xdr:cNvSpPr>
        </xdr:nvSpPr>
        <xdr:spPr bwMode="auto">
          <a:xfrm>
            <a:off x="319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7127" name="Group 169"/>
          <xdr:cNvGrpSpPr>
            <a:grpSpLocks/>
          </xdr:cNvGrpSpPr>
        </xdr:nvGrpSpPr>
        <xdr:grpSpPr bwMode="auto">
          <a:xfrm>
            <a:off x="323" y="41"/>
            <a:ext cx="35" cy="43"/>
            <a:chOff x="323" y="41"/>
            <a:chExt cx="35" cy="43"/>
          </a:xfrm>
        </xdr:grpSpPr>
        <xdr:pic>
          <xdr:nvPicPr>
            <xdr:cNvPr id="47129" name="Grafik 5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23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7130" name="Grafik 5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23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55" name="Rectangle 170">
            <a:extLst/>
          </xdr:cNvPr>
          <xdr:cNvSpPr>
            <a:spLocks noChangeArrowheads="1"/>
          </xdr:cNvSpPr>
        </xdr:nvSpPr>
        <xdr:spPr bwMode="auto">
          <a:xfrm>
            <a:off x="358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190500</xdr:rowOff>
    </xdr:from>
    <xdr:to>
      <xdr:col>8</xdr:col>
      <xdr:colOff>180975</xdr:colOff>
      <xdr:row>0</xdr:row>
      <xdr:rowOff>838200</xdr:rowOff>
    </xdr:to>
    <xdr:grpSp>
      <xdr:nvGrpSpPr>
        <xdr:cNvPr id="44941" name="Group 138"/>
        <xdr:cNvGrpSpPr>
          <a:grpSpLocks noChangeAspect="1"/>
        </xdr:cNvGrpSpPr>
      </xdr:nvGrpSpPr>
      <xdr:grpSpPr bwMode="auto">
        <a:xfrm>
          <a:off x="161925" y="190500"/>
          <a:ext cx="4867275" cy="647700"/>
          <a:chOff x="55" y="41"/>
          <a:chExt cx="321" cy="43"/>
        </a:xfrm>
      </xdr:grpSpPr>
      <xdr:sp macro="" textlink="">
        <xdr:nvSpPr>
          <xdr:cNvPr id="44942" name="AutoShape 137"/>
          <xdr:cNvSpPr>
            <a:spLocks noChangeAspect="1" noChangeArrowheads="1" noTextEdit="1"/>
          </xdr:cNvSpPr>
        </xdr:nvSpPr>
        <xdr:spPr bwMode="auto">
          <a:xfrm>
            <a:off x="55" y="41"/>
            <a:ext cx="321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grpSp>
        <xdr:nvGrpSpPr>
          <xdr:cNvPr id="44943" name="Group 141"/>
          <xdr:cNvGrpSpPr>
            <a:grpSpLocks/>
          </xdr:cNvGrpSpPr>
        </xdr:nvGrpSpPr>
        <xdr:grpSpPr bwMode="auto">
          <a:xfrm>
            <a:off x="55" y="41"/>
            <a:ext cx="34" cy="43"/>
            <a:chOff x="55" y="41"/>
            <a:chExt cx="34" cy="43"/>
          </a:xfrm>
        </xdr:grpSpPr>
        <xdr:pic>
          <xdr:nvPicPr>
            <xdr:cNvPr id="44973" name="Grafik 7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5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4974" name="Grafik 7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5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6" name="Rectangle 142">
            <a:extLst/>
          </xdr:cNvPr>
          <xdr:cNvSpPr>
            <a:spLocks noChangeArrowheads="1"/>
          </xdr:cNvSpPr>
        </xdr:nvSpPr>
        <xdr:spPr bwMode="auto">
          <a:xfrm>
            <a:off x="90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4945" name="Group 145"/>
          <xdr:cNvGrpSpPr>
            <a:grpSpLocks/>
          </xdr:cNvGrpSpPr>
        </xdr:nvGrpSpPr>
        <xdr:grpSpPr bwMode="auto">
          <a:xfrm>
            <a:off x="93" y="41"/>
            <a:ext cx="34" cy="43"/>
            <a:chOff x="93" y="41"/>
            <a:chExt cx="34" cy="43"/>
          </a:xfrm>
        </xdr:grpSpPr>
        <xdr:pic>
          <xdr:nvPicPr>
            <xdr:cNvPr id="44971" name="Grafik 6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3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4972" name="Grafik 69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3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8" name="Rectangle 146">
            <a:extLst/>
          </xdr:cNvPr>
          <xdr:cNvSpPr>
            <a:spLocks noChangeArrowheads="1"/>
          </xdr:cNvSpPr>
        </xdr:nvSpPr>
        <xdr:spPr bwMode="auto">
          <a:xfrm>
            <a:off x="127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4947" name="Group 149"/>
          <xdr:cNvGrpSpPr>
            <a:grpSpLocks/>
          </xdr:cNvGrpSpPr>
        </xdr:nvGrpSpPr>
        <xdr:grpSpPr bwMode="auto">
          <a:xfrm>
            <a:off x="130" y="41"/>
            <a:ext cx="39" cy="43"/>
            <a:chOff x="130" y="41"/>
            <a:chExt cx="39" cy="43"/>
          </a:xfrm>
        </xdr:grpSpPr>
        <xdr:pic>
          <xdr:nvPicPr>
            <xdr:cNvPr id="44969" name="Grafik 6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0" y="41"/>
              <a:ext cx="39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4970" name="Grafik 6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0" y="41"/>
              <a:ext cx="39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0" name="Rectangle 150">
            <a:extLst/>
          </xdr:cNvPr>
          <xdr:cNvSpPr>
            <a:spLocks noChangeArrowheads="1"/>
          </xdr:cNvSpPr>
        </xdr:nvSpPr>
        <xdr:spPr bwMode="auto">
          <a:xfrm>
            <a:off x="171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4949" name="Group 153"/>
          <xdr:cNvGrpSpPr>
            <a:grpSpLocks/>
          </xdr:cNvGrpSpPr>
        </xdr:nvGrpSpPr>
        <xdr:grpSpPr bwMode="auto">
          <a:xfrm>
            <a:off x="172" y="41"/>
            <a:ext cx="34" cy="43"/>
            <a:chOff x="172" y="41"/>
            <a:chExt cx="34" cy="43"/>
          </a:xfrm>
        </xdr:grpSpPr>
        <xdr:pic>
          <xdr:nvPicPr>
            <xdr:cNvPr id="44967" name="Grafik 64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2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4968" name="Grafik 6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2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2" name="Rectangle 154">
            <a:extLst/>
          </xdr:cNvPr>
          <xdr:cNvSpPr>
            <a:spLocks noChangeArrowheads="1"/>
          </xdr:cNvSpPr>
        </xdr:nvSpPr>
        <xdr:spPr bwMode="auto">
          <a:xfrm>
            <a:off x="206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4951" name="Group 157"/>
          <xdr:cNvGrpSpPr>
            <a:grpSpLocks/>
          </xdr:cNvGrpSpPr>
        </xdr:nvGrpSpPr>
        <xdr:grpSpPr bwMode="auto">
          <a:xfrm>
            <a:off x="210" y="41"/>
            <a:ext cx="35" cy="43"/>
            <a:chOff x="210" y="41"/>
            <a:chExt cx="35" cy="43"/>
          </a:xfrm>
        </xdr:grpSpPr>
        <xdr:pic>
          <xdr:nvPicPr>
            <xdr:cNvPr id="44965" name="Grafik 6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0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4966" name="Grafik 63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0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4" name="Rectangle 158">
            <a:extLst/>
          </xdr:cNvPr>
          <xdr:cNvSpPr>
            <a:spLocks noChangeArrowheads="1"/>
          </xdr:cNvSpPr>
        </xdr:nvSpPr>
        <xdr:spPr bwMode="auto">
          <a:xfrm>
            <a:off x="245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4953" name="Group 161"/>
          <xdr:cNvGrpSpPr>
            <a:grpSpLocks/>
          </xdr:cNvGrpSpPr>
        </xdr:nvGrpSpPr>
        <xdr:grpSpPr bwMode="auto">
          <a:xfrm>
            <a:off x="249" y="41"/>
            <a:ext cx="33" cy="43"/>
            <a:chOff x="249" y="41"/>
            <a:chExt cx="33" cy="43"/>
          </a:xfrm>
        </xdr:grpSpPr>
        <xdr:pic>
          <xdr:nvPicPr>
            <xdr:cNvPr id="44963" name="Grafik 6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49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4964" name="Grafik 6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49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6" name="Rectangle 162">
            <a:extLst/>
          </xdr:cNvPr>
          <xdr:cNvSpPr>
            <a:spLocks noChangeArrowheads="1"/>
          </xdr:cNvSpPr>
        </xdr:nvSpPr>
        <xdr:spPr bwMode="auto">
          <a:xfrm>
            <a:off x="284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4955" name="Group 165"/>
          <xdr:cNvGrpSpPr>
            <a:grpSpLocks/>
          </xdr:cNvGrpSpPr>
        </xdr:nvGrpSpPr>
        <xdr:grpSpPr bwMode="auto">
          <a:xfrm>
            <a:off x="286" y="41"/>
            <a:ext cx="33" cy="43"/>
            <a:chOff x="286" y="41"/>
            <a:chExt cx="33" cy="43"/>
          </a:xfrm>
        </xdr:grpSpPr>
        <xdr:pic>
          <xdr:nvPicPr>
            <xdr:cNvPr id="44961" name="Grafik 5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86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4962" name="Grafik 59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86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8" name="Rectangle 166">
            <a:extLst/>
          </xdr:cNvPr>
          <xdr:cNvSpPr>
            <a:spLocks noChangeArrowheads="1"/>
          </xdr:cNvSpPr>
        </xdr:nvSpPr>
        <xdr:spPr bwMode="auto">
          <a:xfrm>
            <a:off x="319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4957" name="Group 169"/>
          <xdr:cNvGrpSpPr>
            <a:grpSpLocks/>
          </xdr:cNvGrpSpPr>
        </xdr:nvGrpSpPr>
        <xdr:grpSpPr bwMode="auto">
          <a:xfrm>
            <a:off x="323" y="41"/>
            <a:ext cx="35" cy="43"/>
            <a:chOff x="323" y="41"/>
            <a:chExt cx="35" cy="43"/>
          </a:xfrm>
        </xdr:grpSpPr>
        <xdr:pic>
          <xdr:nvPicPr>
            <xdr:cNvPr id="44959" name="Grafik 5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23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4960" name="Grafik 5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23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20" name="Rectangle 170">
            <a:extLst/>
          </xdr:cNvPr>
          <xdr:cNvSpPr>
            <a:spLocks noChangeArrowheads="1"/>
          </xdr:cNvSpPr>
        </xdr:nvSpPr>
        <xdr:spPr bwMode="auto">
          <a:xfrm>
            <a:off x="358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0</xdr:rowOff>
    </xdr:from>
    <xdr:to>
      <xdr:col>8</xdr:col>
      <xdr:colOff>133350</xdr:colOff>
      <xdr:row>1</xdr:row>
      <xdr:rowOff>0</xdr:rowOff>
    </xdr:to>
    <xdr:grpSp>
      <xdr:nvGrpSpPr>
        <xdr:cNvPr id="14" name="Group 138"/>
        <xdr:cNvGrpSpPr>
          <a:grpSpLocks noChangeAspect="1"/>
        </xdr:cNvGrpSpPr>
      </xdr:nvGrpSpPr>
      <xdr:grpSpPr bwMode="auto">
        <a:xfrm>
          <a:off x="133350" y="914400"/>
          <a:ext cx="5410200" cy="0"/>
          <a:chOff x="55" y="41"/>
          <a:chExt cx="321" cy="43"/>
        </a:xfrm>
      </xdr:grpSpPr>
      <xdr:sp macro="" textlink="">
        <xdr:nvSpPr>
          <xdr:cNvPr id="15" name="AutoShape 137"/>
          <xdr:cNvSpPr>
            <a:spLocks noChangeAspect="1" noChangeArrowheads="1" noTextEdit="1"/>
          </xdr:cNvSpPr>
        </xdr:nvSpPr>
        <xdr:spPr bwMode="auto">
          <a:xfrm>
            <a:off x="55" y="41"/>
            <a:ext cx="321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grpSp>
        <xdr:nvGrpSpPr>
          <xdr:cNvPr id="16" name="Group 141"/>
          <xdr:cNvGrpSpPr>
            <a:grpSpLocks/>
          </xdr:cNvGrpSpPr>
        </xdr:nvGrpSpPr>
        <xdr:grpSpPr bwMode="auto">
          <a:xfrm>
            <a:off x="55" y="41"/>
            <a:ext cx="34" cy="43"/>
            <a:chOff x="55" y="41"/>
            <a:chExt cx="34" cy="43"/>
          </a:xfrm>
        </xdr:grpSpPr>
        <xdr:pic>
          <xdr:nvPicPr>
            <xdr:cNvPr id="46" name="Grafik 7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5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7" name="Grafik 7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5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7" name="Rectangle 142">
            <a:extLst/>
          </xdr:cNvPr>
          <xdr:cNvSpPr>
            <a:spLocks noChangeArrowheads="1"/>
          </xdr:cNvSpPr>
        </xdr:nvSpPr>
        <xdr:spPr bwMode="auto">
          <a:xfrm>
            <a:off x="88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18" name="Group 145"/>
          <xdr:cNvGrpSpPr>
            <a:grpSpLocks/>
          </xdr:cNvGrpSpPr>
        </xdr:nvGrpSpPr>
        <xdr:grpSpPr bwMode="auto">
          <a:xfrm>
            <a:off x="93" y="41"/>
            <a:ext cx="34" cy="43"/>
            <a:chOff x="93" y="41"/>
            <a:chExt cx="34" cy="43"/>
          </a:xfrm>
        </xdr:grpSpPr>
        <xdr:pic>
          <xdr:nvPicPr>
            <xdr:cNvPr id="44" name="Grafik 6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3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5" name="Grafik 69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3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9" name="Rectangle 146">
            <a:extLst/>
          </xdr:cNvPr>
          <xdr:cNvSpPr>
            <a:spLocks noChangeArrowheads="1"/>
          </xdr:cNvSpPr>
        </xdr:nvSpPr>
        <xdr:spPr bwMode="auto">
          <a:xfrm>
            <a:off x="127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20" name="Group 149"/>
          <xdr:cNvGrpSpPr>
            <a:grpSpLocks/>
          </xdr:cNvGrpSpPr>
        </xdr:nvGrpSpPr>
        <xdr:grpSpPr bwMode="auto">
          <a:xfrm>
            <a:off x="130" y="41"/>
            <a:ext cx="39" cy="43"/>
            <a:chOff x="130" y="41"/>
            <a:chExt cx="39" cy="43"/>
          </a:xfrm>
        </xdr:grpSpPr>
        <xdr:pic>
          <xdr:nvPicPr>
            <xdr:cNvPr id="42" name="Grafik 6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0" y="41"/>
              <a:ext cx="39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3" name="Grafik 6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0" y="41"/>
              <a:ext cx="39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21" name="Rectangle 150">
            <a:extLst/>
          </xdr:cNvPr>
          <xdr:cNvSpPr>
            <a:spLocks noChangeArrowheads="1"/>
          </xdr:cNvSpPr>
        </xdr:nvSpPr>
        <xdr:spPr bwMode="auto">
          <a:xfrm>
            <a:off x="169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22" name="Group 153"/>
          <xdr:cNvGrpSpPr>
            <a:grpSpLocks/>
          </xdr:cNvGrpSpPr>
        </xdr:nvGrpSpPr>
        <xdr:grpSpPr bwMode="auto">
          <a:xfrm>
            <a:off x="172" y="41"/>
            <a:ext cx="34" cy="43"/>
            <a:chOff x="172" y="41"/>
            <a:chExt cx="34" cy="43"/>
          </a:xfrm>
        </xdr:grpSpPr>
        <xdr:pic>
          <xdr:nvPicPr>
            <xdr:cNvPr id="40" name="Grafik 64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2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1" name="Grafik 6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2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23" name="Rectangle 154">
            <a:extLst/>
          </xdr:cNvPr>
          <xdr:cNvSpPr>
            <a:spLocks noChangeArrowheads="1"/>
          </xdr:cNvSpPr>
        </xdr:nvSpPr>
        <xdr:spPr bwMode="auto">
          <a:xfrm>
            <a:off x="205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24" name="Group 157"/>
          <xdr:cNvGrpSpPr>
            <a:grpSpLocks/>
          </xdr:cNvGrpSpPr>
        </xdr:nvGrpSpPr>
        <xdr:grpSpPr bwMode="auto">
          <a:xfrm>
            <a:off x="210" y="41"/>
            <a:ext cx="35" cy="43"/>
            <a:chOff x="210" y="41"/>
            <a:chExt cx="35" cy="43"/>
          </a:xfrm>
        </xdr:grpSpPr>
        <xdr:pic>
          <xdr:nvPicPr>
            <xdr:cNvPr id="38" name="Grafik 6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0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9" name="Grafik 63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0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25" name="Rectangle 158">
            <a:extLst/>
          </xdr:cNvPr>
          <xdr:cNvSpPr>
            <a:spLocks noChangeArrowheads="1"/>
          </xdr:cNvSpPr>
        </xdr:nvSpPr>
        <xdr:spPr bwMode="auto">
          <a:xfrm>
            <a:off x="244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26" name="Group 161"/>
          <xdr:cNvGrpSpPr>
            <a:grpSpLocks/>
          </xdr:cNvGrpSpPr>
        </xdr:nvGrpSpPr>
        <xdr:grpSpPr bwMode="auto">
          <a:xfrm>
            <a:off x="249" y="41"/>
            <a:ext cx="33" cy="43"/>
            <a:chOff x="249" y="41"/>
            <a:chExt cx="33" cy="43"/>
          </a:xfrm>
        </xdr:grpSpPr>
        <xdr:pic>
          <xdr:nvPicPr>
            <xdr:cNvPr id="36" name="Grafik 6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49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7" name="Grafik 6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49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27" name="Rectangle 162">
            <a:extLst/>
          </xdr:cNvPr>
          <xdr:cNvSpPr>
            <a:spLocks noChangeArrowheads="1"/>
          </xdr:cNvSpPr>
        </xdr:nvSpPr>
        <xdr:spPr bwMode="auto">
          <a:xfrm>
            <a:off x="281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28" name="Group 165"/>
          <xdr:cNvGrpSpPr>
            <a:grpSpLocks/>
          </xdr:cNvGrpSpPr>
        </xdr:nvGrpSpPr>
        <xdr:grpSpPr bwMode="auto">
          <a:xfrm>
            <a:off x="286" y="41"/>
            <a:ext cx="33" cy="43"/>
            <a:chOff x="286" y="41"/>
            <a:chExt cx="33" cy="43"/>
          </a:xfrm>
        </xdr:grpSpPr>
        <xdr:pic>
          <xdr:nvPicPr>
            <xdr:cNvPr id="34" name="Grafik 5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86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5" name="Grafik 59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86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29" name="Rectangle 166">
            <a:extLst/>
          </xdr:cNvPr>
          <xdr:cNvSpPr>
            <a:spLocks noChangeArrowheads="1"/>
          </xdr:cNvSpPr>
        </xdr:nvSpPr>
        <xdr:spPr bwMode="auto">
          <a:xfrm>
            <a:off x="316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30" name="Group 169"/>
          <xdr:cNvGrpSpPr>
            <a:grpSpLocks/>
          </xdr:cNvGrpSpPr>
        </xdr:nvGrpSpPr>
        <xdr:grpSpPr bwMode="auto">
          <a:xfrm>
            <a:off x="323" y="41"/>
            <a:ext cx="35" cy="43"/>
            <a:chOff x="323" y="41"/>
            <a:chExt cx="35" cy="43"/>
          </a:xfrm>
        </xdr:grpSpPr>
        <xdr:pic>
          <xdr:nvPicPr>
            <xdr:cNvPr id="32" name="Grafik 5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23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3" name="Grafik 5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23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31" name="Rectangle 170">
            <a:extLst/>
          </xdr:cNvPr>
          <xdr:cNvSpPr>
            <a:spLocks noChangeArrowheads="1"/>
          </xdr:cNvSpPr>
        </xdr:nvSpPr>
        <xdr:spPr bwMode="auto">
          <a:xfrm>
            <a:off x="358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</xdr:grpSp>
    <xdr:clientData/>
  </xdr:twoCellAnchor>
  <xdr:twoCellAnchor>
    <xdr:from>
      <xdr:col>1</xdr:col>
      <xdr:colOff>56031</xdr:colOff>
      <xdr:row>0</xdr:row>
      <xdr:rowOff>168089</xdr:rowOff>
    </xdr:from>
    <xdr:to>
      <xdr:col>7</xdr:col>
      <xdr:colOff>30397</xdr:colOff>
      <xdr:row>0</xdr:row>
      <xdr:rowOff>815789</xdr:rowOff>
    </xdr:to>
    <xdr:grpSp>
      <xdr:nvGrpSpPr>
        <xdr:cNvPr id="82" name="Group 138"/>
        <xdr:cNvGrpSpPr>
          <a:grpSpLocks noChangeAspect="1"/>
        </xdr:cNvGrpSpPr>
      </xdr:nvGrpSpPr>
      <xdr:grpSpPr bwMode="auto">
        <a:xfrm>
          <a:off x="160806" y="168089"/>
          <a:ext cx="4717816" cy="647700"/>
          <a:chOff x="55" y="41"/>
          <a:chExt cx="321" cy="43"/>
        </a:xfrm>
      </xdr:grpSpPr>
      <xdr:sp macro="" textlink="">
        <xdr:nvSpPr>
          <xdr:cNvPr id="83" name="AutoShape 137"/>
          <xdr:cNvSpPr>
            <a:spLocks noChangeAspect="1" noChangeArrowheads="1" noTextEdit="1"/>
          </xdr:cNvSpPr>
        </xdr:nvSpPr>
        <xdr:spPr bwMode="auto">
          <a:xfrm>
            <a:off x="55" y="41"/>
            <a:ext cx="321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grpSp>
        <xdr:nvGrpSpPr>
          <xdr:cNvPr id="84" name="Group 141"/>
          <xdr:cNvGrpSpPr>
            <a:grpSpLocks/>
          </xdr:cNvGrpSpPr>
        </xdr:nvGrpSpPr>
        <xdr:grpSpPr bwMode="auto">
          <a:xfrm>
            <a:off x="55" y="41"/>
            <a:ext cx="34" cy="43"/>
            <a:chOff x="55" y="41"/>
            <a:chExt cx="34" cy="43"/>
          </a:xfrm>
        </xdr:grpSpPr>
        <xdr:pic>
          <xdr:nvPicPr>
            <xdr:cNvPr id="114" name="Grafik 7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5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5" name="Grafik 7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5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85" name="Rectangle 142">
            <a:extLst/>
          </xdr:cNvPr>
          <xdr:cNvSpPr>
            <a:spLocks noChangeArrowheads="1"/>
          </xdr:cNvSpPr>
        </xdr:nvSpPr>
        <xdr:spPr bwMode="auto">
          <a:xfrm>
            <a:off x="89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86" name="Group 145"/>
          <xdr:cNvGrpSpPr>
            <a:grpSpLocks/>
          </xdr:cNvGrpSpPr>
        </xdr:nvGrpSpPr>
        <xdr:grpSpPr bwMode="auto">
          <a:xfrm>
            <a:off x="93" y="41"/>
            <a:ext cx="34" cy="43"/>
            <a:chOff x="93" y="41"/>
            <a:chExt cx="34" cy="43"/>
          </a:xfrm>
        </xdr:grpSpPr>
        <xdr:pic>
          <xdr:nvPicPr>
            <xdr:cNvPr id="112" name="Grafik 6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3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3" name="Grafik 69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3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87" name="Rectangle 146">
            <a:extLst/>
          </xdr:cNvPr>
          <xdr:cNvSpPr>
            <a:spLocks noChangeArrowheads="1"/>
          </xdr:cNvSpPr>
        </xdr:nvSpPr>
        <xdr:spPr bwMode="auto">
          <a:xfrm>
            <a:off x="127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88" name="Group 149"/>
          <xdr:cNvGrpSpPr>
            <a:grpSpLocks/>
          </xdr:cNvGrpSpPr>
        </xdr:nvGrpSpPr>
        <xdr:grpSpPr bwMode="auto">
          <a:xfrm>
            <a:off x="130" y="41"/>
            <a:ext cx="39" cy="43"/>
            <a:chOff x="130" y="41"/>
            <a:chExt cx="39" cy="43"/>
          </a:xfrm>
        </xdr:grpSpPr>
        <xdr:pic>
          <xdr:nvPicPr>
            <xdr:cNvPr id="110" name="Grafik 6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0" y="41"/>
              <a:ext cx="39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1" name="Grafik 6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0" y="41"/>
              <a:ext cx="39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89" name="Rectangle 150">
            <a:extLst/>
          </xdr:cNvPr>
          <xdr:cNvSpPr>
            <a:spLocks noChangeArrowheads="1"/>
          </xdr:cNvSpPr>
        </xdr:nvSpPr>
        <xdr:spPr bwMode="auto">
          <a:xfrm>
            <a:off x="169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90" name="Group 153"/>
          <xdr:cNvGrpSpPr>
            <a:grpSpLocks/>
          </xdr:cNvGrpSpPr>
        </xdr:nvGrpSpPr>
        <xdr:grpSpPr bwMode="auto">
          <a:xfrm>
            <a:off x="172" y="41"/>
            <a:ext cx="34" cy="43"/>
            <a:chOff x="172" y="41"/>
            <a:chExt cx="34" cy="43"/>
          </a:xfrm>
        </xdr:grpSpPr>
        <xdr:pic>
          <xdr:nvPicPr>
            <xdr:cNvPr id="108" name="Grafik 64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2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9" name="Grafik 6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2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91" name="Rectangle 154">
            <a:extLst/>
          </xdr:cNvPr>
          <xdr:cNvSpPr>
            <a:spLocks noChangeArrowheads="1"/>
          </xdr:cNvSpPr>
        </xdr:nvSpPr>
        <xdr:spPr bwMode="auto">
          <a:xfrm>
            <a:off x="206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92" name="Group 157"/>
          <xdr:cNvGrpSpPr>
            <a:grpSpLocks/>
          </xdr:cNvGrpSpPr>
        </xdr:nvGrpSpPr>
        <xdr:grpSpPr bwMode="auto">
          <a:xfrm>
            <a:off x="210" y="41"/>
            <a:ext cx="35" cy="43"/>
            <a:chOff x="210" y="41"/>
            <a:chExt cx="35" cy="43"/>
          </a:xfrm>
        </xdr:grpSpPr>
        <xdr:pic>
          <xdr:nvPicPr>
            <xdr:cNvPr id="106" name="Grafik 6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0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7" name="Grafik 63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0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93" name="Rectangle 158">
            <a:extLst/>
          </xdr:cNvPr>
          <xdr:cNvSpPr>
            <a:spLocks noChangeArrowheads="1"/>
          </xdr:cNvSpPr>
        </xdr:nvSpPr>
        <xdr:spPr bwMode="auto">
          <a:xfrm>
            <a:off x="244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94" name="Group 161"/>
          <xdr:cNvGrpSpPr>
            <a:grpSpLocks/>
          </xdr:cNvGrpSpPr>
        </xdr:nvGrpSpPr>
        <xdr:grpSpPr bwMode="auto">
          <a:xfrm>
            <a:off x="249" y="41"/>
            <a:ext cx="33" cy="43"/>
            <a:chOff x="249" y="41"/>
            <a:chExt cx="33" cy="43"/>
          </a:xfrm>
        </xdr:grpSpPr>
        <xdr:pic>
          <xdr:nvPicPr>
            <xdr:cNvPr id="104" name="Grafik 6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49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5" name="Grafik 6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49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95" name="Rectangle 162">
            <a:extLst/>
          </xdr:cNvPr>
          <xdr:cNvSpPr>
            <a:spLocks noChangeArrowheads="1"/>
          </xdr:cNvSpPr>
        </xdr:nvSpPr>
        <xdr:spPr bwMode="auto">
          <a:xfrm>
            <a:off x="282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96" name="Group 165"/>
          <xdr:cNvGrpSpPr>
            <a:grpSpLocks/>
          </xdr:cNvGrpSpPr>
        </xdr:nvGrpSpPr>
        <xdr:grpSpPr bwMode="auto">
          <a:xfrm>
            <a:off x="286" y="41"/>
            <a:ext cx="33" cy="43"/>
            <a:chOff x="286" y="41"/>
            <a:chExt cx="33" cy="43"/>
          </a:xfrm>
        </xdr:grpSpPr>
        <xdr:pic>
          <xdr:nvPicPr>
            <xdr:cNvPr id="102" name="Grafik 5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86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3" name="Grafik 59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86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97" name="Rectangle 166">
            <a:extLst/>
          </xdr:cNvPr>
          <xdr:cNvSpPr>
            <a:spLocks noChangeArrowheads="1"/>
          </xdr:cNvSpPr>
        </xdr:nvSpPr>
        <xdr:spPr bwMode="auto">
          <a:xfrm>
            <a:off x="319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98" name="Group 169"/>
          <xdr:cNvGrpSpPr>
            <a:grpSpLocks/>
          </xdr:cNvGrpSpPr>
        </xdr:nvGrpSpPr>
        <xdr:grpSpPr bwMode="auto">
          <a:xfrm>
            <a:off x="323" y="41"/>
            <a:ext cx="35" cy="43"/>
            <a:chOff x="323" y="41"/>
            <a:chExt cx="35" cy="43"/>
          </a:xfrm>
        </xdr:grpSpPr>
        <xdr:pic>
          <xdr:nvPicPr>
            <xdr:cNvPr id="100" name="Grafik 5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23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1" name="Grafik 5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23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99" name="Rectangle 170">
            <a:extLst/>
          </xdr:cNvPr>
          <xdr:cNvSpPr>
            <a:spLocks noChangeArrowheads="1"/>
          </xdr:cNvSpPr>
        </xdr:nvSpPr>
        <xdr:spPr bwMode="auto">
          <a:xfrm>
            <a:off x="358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39</xdr:row>
          <xdr:rowOff>57150</xdr:rowOff>
        </xdr:from>
        <xdr:to>
          <xdr:col>10</xdr:col>
          <xdr:colOff>19050</xdr:colOff>
          <xdr:row>39</xdr:row>
          <xdr:rowOff>171450</xdr:rowOff>
        </xdr:to>
        <xdr:sp macro="" textlink="">
          <xdr:nvSpPr>
            <xdr:cNvPr id="11318" name="ja" hidden="1">
              <a:extLst>
                <a:ext uri="{63B3BB69-23CF-44E3-9099-C40C66FF867C}">
                  <a14:compatExt spid="_x0000_s1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39</xdr:row>
          <xdr:rowOff>38100</xdr:rowOff>
        </xdr:from>
        <xdr:to>
          <xdr:col>10</xdr:col>
          <xdr:colOff>314325</xdr:colOff>
          <xdr:row>39</xdr:row>
          <xdr:rowOff>200025</xdr:rowOff>
        </xdr:to>
        <xdr:sp macro="" textlink="">
          <xdr:nvSpPr>
            <xdr:cNvPr id="11319" name="Check Box 55" descr="Ja" hidden="1">
              <a:extLst>
                <a:ext uri="{63B3BB69-23CF-44E3-9099-C40C66FF867C}">
                  <a14:compatExt spid="_x0000_s1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40</xdr:row>
          <xdr:rowOff>57150</xdr:rowOff>
        </xdr:from>
        <xdr:to>
          <xdr:col>10</xdr:col>
          <xdr:colOff>19050</xdr:colOff>
          <xdr:row>40</xdr:row>
          <xdr:rowOff>171450</xdr:rowOff>
        </xdr:to>
        <xdr:sp macro="" textlink="">
          <xdr:nvSpPr>
            <xdr:cNvPr id="11320" name="Check Box 56" hidden="1">
              <a:extLst>
                <a:ext uri="{63B3BB69-23CF-44E3-9099-C40C66FF867C}">
                  <a14:compatExt spid="_x0000_s11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41</xdr:row>
          <xdr:rowOff>57150</xdr:rowOff>
        </xdr:from>
        <xdr:to>
          <xdr:col>10</xdr:col>
          <xdr:colOff>19050</xdr:colOff>
          <xdr:row>41</xdr:row>
          <xdr:rowOff>171450</xdr:rowOff>
        </xdr:to>
        <xdr:sp macro="" textlink="">
          <xdr:nvSpPr>
            <xdr:cNvPr id="11321" name="Check Box 57" hidden="1">
              <a:extLst>
                <a:ext uri="{63B3BB69-23CF-44E3-9099-C40C66FF867C}">
                  <a14:compatExt spid="_x0000_s1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40</xdr:row>
          <xdr:rowOff>19050</xdr:rowOff>
        </xdr:from>
        <xdr:to>
          <xdr:col>10</xdr:col>
          <xdr:colOff>314325</xdr:colOff>
          <xdr:row>40</xdr:row>
          <xdr:rowOff>180975</xdr:rowOff>
        </xdr:to>
        <xdr:sp macro="" textlink="">
          <xdr:nvSpPr>
            <xdr:cNvPr id="11322" name="Check Box 58" descr="Ja" hidden="1">
              <a:extLst>
                <a:ext uri="{63B3BB69-23CF-44E3-9099-C40C66FF867C}">
                  <a14:compatExt spid="_x0000_s1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41</xdr:row>
          <xdr:rowOff>19050</xdr:rowOff>
        </xdr:from>
        <xdr:to>
          <xdr:col>10</xdr:col>
          <xdr:colOff>323850</xdr:colOff>
          <xdr:row>41</xdr:row>
          <xdr:rowOff>180975</xdr:rowOff>
        </xdr:to>
        <xdr:sp macro="" textlink="">
          <xdr:nvSpPr>
            <xdr:cNvPr id="11323" name="Check Box 59" descr="Ja" hidden="1">
              <a:extLst>
                <a:ext uri="{63B3BB69-23CF-44E3-9099-C40C66FF867C}">
                  <a14:compatExt spid="_x0000_s1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34</xdr:row>
          <xdr:rowOff>104775</xdr:rowOff>
        </xdr:from>
        <xdr:to>
          <xdr:col>10</xdr:col>
          <xdr:colOff>276225</xdr:colOff>
          <xdr:row>35</xdr:row>
          <xdr:rowOff>0</xdr:rowOff>
        </xdr:to>
        <xdr:sp macro="" textlink="">
          <xdr:nvSpPr>
            <xdr:cNvPr id="11327" name="Check Box 63" hidden="1">
              <a:extLst>
                <a:ext uri="{63B3BB69-23CF-44E3-9099-C40C66FF867C}">
                  <a14:compatExt spid="_x0000_s1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Schwemmentmistung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42</xdr:row>
          <xdr:rowOff>95250</xdr:rowOff>
        </xdr:from>
        <xdr:to>
          <xdr:col>9</xdr:col>
          <xdr:colOff>419100</xdr:colOff>
          <xdr:row>42</xdr:row>
          <xdr:rowOff>209550</xdr:rowOff>
        </xdr:to>
        <xdr:sp macro="" textlink="">
          <xdr:nvSpPr>
            <xdr:cNvPr id="11328" name="Check Box 64" hidden="1">
              <a:extLst>
                <a:ext uri="{63B3BB69-23CF-44E3-9099-C40C66FF867C}">
                  <a14:compatExt spid="_x0000_s1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Anzahl Bewohner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42</xdr:row>
          <xdr:rowOff>85725</xdr:rowOff>
        </xdr:from>
        <xdr:to>
          <xdr:col>12</xdr:col>
          <xdr:colOff>323850</xdr:colOff>
          <xdr:row>42</xdr:row>
          <xdr:rowOff>209550</xdr:rowOff>
        </xdr:to>
        <xdr:sp macro="" textlink="">
          <xdr:nvSpPr>
            <xdr:cNvPr id="11329" name="Check Box 65" hidden="1">
              <a:extLst>
                <a:ext uri="{63B3BB69-23CF-44E3-9099-C40C66FF867C}">
                  <a14:compatExt spid="_x0000_s1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einfache Verhältnisse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</xdr:row>
          <xdr:rowOff>28575</xdr:rowOff>
        </xdr:from>
        <xdr:to>
          <xdr:col>10</xdr:col>
          <xdr:colOff>133350</xdr:colOff>
          <xdr:row>27</xdr:row>
          <xdr:rowOff>0</xdr:rowOff>
        </xdr:to>
        <xdr:sp macro="" textlink="">
          <xdr:nvSpPr>
            <xdr:cNvPr id="11331" name="Check Box 67" hidden="1">
              <a:extLst>
                <a:ext uri="{63B3BB69-23CF-44E3-9099-C40C66FF867C}">
                  <a14:compatExt spid="_x0000_s1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1000 mm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12</xdr:row>
          <xdr:rowOff>28575</xdr:rowOff>
        </xdr:from>
        <xdr:to>
          <xdr:col>8</xdr:col>
          <xdr:colOff>323850</xdr:colOff>
          <xdr:row>12</xdr:row>
          <xdr:rowOff>171450</xdr:rowOff>
        </xdr:to>
        <xdr:sp macro="" textlink="">
          <xdr:nvSpPr>
            <xdr:cNvPr id="11336" name="Check Box 72" hidden="1">
              <a:extLst>
                <a:ext uri="{63B3BB69-23CF-44E3-9099-C40C66FF867C}">
                  <a14:compatExt spid="_x0000_s1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Waschplatz Pferde ist an Kanalisation angeschlossen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26</xdr:row>
          <xdr:rowOff>28575</xdr:rowOff>
        </xdr:from>
        <xdr:to>
          <xdr:col>7</xdr:col>
          <xdr:colOff>219075</xdr:colOff>
          <xdr:row>26</xdr:row>
          <xdr:rowOff>180975</xdr:rowOff>
        </xdr:to>
        <xdr:sp macro="" textlink="">
          <xdr:nvSpPr>
            <xdr:cNvPr id="11337" name="Check Box 73" hidden="1">
              <a:extLst>
                <a:ext uri="{63B3BB69-23CF-44E3-9099-C40C66FF867C}">
                  <a14:compatExt spid="_x0000_s1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1200 mm (Normwert, wird standardmässig verwendet)</a:t>
              </a:r>
            </a:p>
          </xdr:txBody>
        </xdr:sp>
        <xdr:clientData fLocksWithSheet="0"/>
      </xdr:twoCellAnchor>
    </mc:Choice>
    <mc:Fallback/>
  </mc:AlternateContent>
  <xdr:twoCellAnchor>
    <xdr:from>
      <xdr:col>1</xdr:col>
      <xdr:colOff>28575</xdr:colOff>
      <xdr:row>0</xdr:row>
      <xdr:rowOff>180975</xdr:rowOff>
    </xdr:from>
    <xdr:to>
      <xdr:col>8</xdr:col>
      <xdr:colOff>133350</xdr:colOff>
      <xdr:row>0</xdr:row>
      <xdr:rowOff>828675</xdr:rowOff>
    </xdr:to>
    <xdr:grpSp>
      <xdr:nvGrpSpPr>
        <xdr:cNvPr id="43989" name="Group 138"/>
        <xdr:cNvGrpSpPr>
          <a:grpSpLocks noChangeAspect="1"/>
        </xdr:cNvGrpSpPr>
      </xdr:nvGrpSpPr>
      <xdr:grpSpPr bwMode="auto">
        <a:xfrm>
          <a:off x="133350" y="180975"/>
          <a:ext cx="4867275" cy="647700"/>
          <a:chOff x="55" y="41"/>
          <a:chExt cx="321" cy="43"/>
        </a:xfrm>
      </xdr:grpSpPr>
      <xdr:sp macro="" textlink="">
        <xdr:nvSpPr>
          <xdr:cNvPr id="43990" name="AutoShape 137"/>
          <xdr:cNvSpPr>
            <a:spLocks noChangeAspect="1" noChangeArrowheads="1" noTextEdit="1"/>
          </xdr:cNvSpPr>
        </xdr:nvSpPr>
        <xdr:spPr bwMode="auto">
          <a:xfrm>
            <a:off x="55" y="41"/>
            <a:ext cx="321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grpSp>
        <xdr:nvGrpSpPr>
          <xdr:cNvPr id="43991" name="Group 141"/>
          <xdr:cNvGrpSpPr>
            <a:grpSpLocks/>
          </xdr:cNvGrpSpPr>
        </xdr:nvGrpSpPr>
        <xdr:grpSpPr bwMode="auto">
          <a:xfrm>
            <a:off x="55" y="41"/>
            <a:ext cx="34" cy="43"/>
            <a:chOff x="55" y="41"/>
            <a:chExt cx="34" cy="43"/>
          </a:xfrm>
        </xdr:grpSpPr>
        <xdr:pic>
          <xdr:nvPicPr>
            <xdr:cNvPr id="44021" name="Grafik 7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5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4022" name="Grafik 7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5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8" name="Rectangle 142">
            <a:extLst/>
          </xdr:cNvPr>
          <xdr:cNvSpPr>
            <a:spLocks noChangeArrowheads="1"/>
          </xdr:cNvSpPr>
        </xdr:nvSpPr>
        <xdr:spPr bwMode="auto">
          <a:xfrm>
            <a:off x="88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3993" name="Group 145"/>
          <xdr:cNvGrpSpPr>
            <a:grpSpLocks/>
          </xdr:cNvGrpSpPr>
        </xdr:nvGrpSpPr>
        <xdr:grpSpPr bwMode="auto">
          <a:xfrm>
            <a:off x="93" y="41"/>
            <a:ext cx="34" cy="43"/>
            <a:chOff x="93" y="41"/>
            <a:chExt cx="34" cy="43"/>
          </a:xfrm>
        </xdr:grpSpPr>
        <xdr:pic>
          <xdr:nvPicPr>
            <xdr:cNvPr id="44019" name="Grafik 6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3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4020" name="Grafik 69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3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20" name="Rectangle 146">
            <a:extLst/>
          </xdr:cNvPr>
          <xdr:cNvSpPr>
            <a:spLocks noChangeArrowheads="1"/>
          </xdr:cNvSpPr>
        </xdr:nvSpPr>
        <xdr:spPr bwMode="auto">
          <a:xfrm>
            <a:off x="127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3995" name="Group 149"/>
          <xdr:cNvGrpSpPr>
            <a:grpSpLocks/>
          </xdr:cNvGrpSpPr>
        </xdr:nvGrpSpPr>
        <xdr:grpSpPr bwMode="auto">
          <a:xfrm>
            <a:off x="130" y="41"/>
            <a:ext cx="39" cy="43"/>
            <a:chOff x="130" y="41"/>
            <a:chExt cx="39" cy="43"/>
          </a:xfrm>
        </xdr:grpSpPr>
        <xdr:pic>
          <xdr:nvPicPr>
            <xdr:cNvPr id="44017" name="Grafik 6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0" y="41"/>
              <a:ext cx="39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4018" name="Grafik 6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0" y="41"/>
              <a:ext cx="39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22" name="Rectangle 150">
            <a:extLst/>
          </xdr:cNvPr>
          <xdr:cNvSpPr>
            <a:spLocks noChangeArrowheads="1"/>
          </xdr:cNvSpPr>
        </xdr:nvSpPr>
        <xdr:spPr bwMode="auto">
          <a:xfrm>
            <a:off x="169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3997" name="Group 153"/>
          <xdr:cNvGrpSpPr>
            <a:grpSpLocks/>
          </xdr:cNvGrpSpPr>
        </xdr:nvGrpSpPr>
        <xdr:grpSpPr bwMode="auto">
          <a:xfrm>
            <a:off x="172" y="41"/>
            <a:ext cx="34" cy="43"/>
            <a:chOff x="172" y="41"/>
            <a:chExt cx="34" cy="43"/>
          </a:xfrm>
        </xdr:grpSpPr>
        <xdr:pic>
          <xdr:nvPicPr>
            <xdr:cNvPr id="44015" name="Grafik 64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2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4016" name="Grafik 6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2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24" name="Rectangle 154">
            <a:extLst/>
          </xdr:cNvPr>
          <xdr:cNvSpPr>
            <a:spLocks noChangeArrowheads="1"/>
          </xdr:cNvSpPr>
        </xdr:nvSpPr>
        <xdr:spPr bwMode="auto">
          <a:xfrm>
            <a:off x="205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3999" name="Group 157"/>
          <xdr:cNvGrpSpPr>
            <a:grpSpLocks/>
          </xdr:cNvGrpSpPr>
        </xdr:nvGrpSpPr>
        <xdr:grpSpPr bwMode="auto">
          <a:xfrm>
            <a:off x="210" y="41"/>
            <a:ext cx="35" cy="43"/>
            <a:chOff x="210" y="41"/>
            <a:chExt cx="35" cy="43"/>
          </a:xfrm>
        </xdr:grpSpPr>
        <xdr:pic>
          <xdr:nvPicPr>
            <xdr:cNvPr id="44013" name="Grafik 6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0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4014" name="Grafik 63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0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26" name="Rectangle 158">
            <a:extLst/>
          </xdr:cNvPr>
          <xdr:cNvSpPr>
            <a:spLocks noChangeArrowheads="1"/>
          </xdr:cNvSpPr>
        </xdr:nvSpPr>
        <xdr:spPr bwMode="auto">
          <a:xfrm>
            <a:off x="244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4001" name="Group 161"/>
          <xdr:cNvGrpSpPr>
            <a:grpSpLocks/>
          </xdr:cNvGrpSpPr>
        </xdr:nvGrpSpPr>
        <xdr:grpSpPr bwMode="auto">
          <a:xfrm>
            <a:off x="249" y="41"/>
            <a:ext cx="33" cy="43"/>
            <a:chOff x="249" y="41"/>
            <a:chExt cx="33" cy="43"/>
          </a:xfrm>
        </xdr:grpSpPr>
        <xdr:pic>
          <xdr:nvPicPr>
            <xdr:cNvPr id="44011" name="Grafik 6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49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4012" name="Grafik 6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49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28" name="Rectangle 162">
            <a:extLst/>
          </xdr:cNvPr>
          <xdr:cNvSpPr>
            <a:spLocks noChangeArrowheads="1"/>
          </xdr:cNvSpPr>
        </xdr:nvSpPr>
        <xdr:spPr bwMode="auto">
          <a:xfrm>
            <a:off x="281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4003" name="Group 165"/>
          <xdr:cNvGrpSpPr>
            <a:grpSpLocks/>
          </xdr:cNvGrpSpPr>
        </xdr:nvGrpSpPr>
        <xdr:grpSpPr bwMode="auto">
          <a:xfrm>
            <a:off x="286" y="41"/>
            <a:ext cx="33" cy="43"/>
            <a:chOff x="286" y="41"/>
            <a:chExt cx="33" cy="43"/>
          </a:xfrm>
        </xdr:grpSpPr>
        <xdr:pic>
          <xdr:nvPicPr>
            <xdr:cNvPr id="44009" name="Grafik 5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86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4010" name="Grafik 59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86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30" name="Rectangle 166">
            <a:extLst/>
          </xdr:cNvPr>
          <xdr:cNvSpPr>
            <a:spLocks noChangeArrowheads="1"/>
          </xdr:cNvSpPr>
        </xdr:nvSpPr>
        <xdr:spPr bwMode="auto">
          <a:xfrm>
            <a:off x="316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4005" name="Group 169"/>
          <xdr:cNvGrpSpPr>
            <a:grpSpLocks/>
          </xdr:cNvGrpSpPr>
        </xdr:nvGrpSpPr>
        <xdr:grpSpPr bwMode="auto">
          <a:xfrm>
            <a:off x="323" y="41"/>
            <a:ext cx="35" cy="43"/>
            <a:chOff x="323" y="41"/>
            <a:chExt cx="35" cy="43"/>
          </a:xfrm>
        </xdr:grpSpPr>
        <xdr:pic>
          <xdr:nvPicPr>
            <xdr:cNvPr id="44007" name="Grafik 5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23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4008" name="Grafik 5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23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32" name="Rectangle 170">
            <a:extLst/>
          </xdr:cNvPr>
          <xdr:cNvSpPr>
            <a:spLocks noChangeArrowheads="1"/>
          </xdr:cNvSpPr>
        </xdr:nvSpPr>
        <xdr:spPr bwMode="auto">
          <a:xfrm>
            <a:off x="358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171450</xdr:rowOff>
    </xdr:from>
    <xdr:to>
      <xdr:col>10</xdr:col>
      <xdr:colOff>104775</xdr:colOff>
      <xdr:row>0</xdr:row>
      <xdr:rowOff>819150</xdr:rowOff>
    </xdr:to>
    <xdr:grpSp>
      <xdr:nvGrpSpPr>
        <xdr:cNvPr id="45964" name="Group 138"/>
        <xdr:cNvGrpSpPr>
          <a:grpSpLocks noChangeAspect="1"/>
        </xdr:cNvGrpSpPr>
      </xdr:nvGrpSpPr>
      <xdr:grpSpPr bwMode="auto">
        <a:xfrm>
          <a:off x="161925" y="171450"/>
          <a:ext cx="4867275" cy="647700"/>
          <a:chOff x="55" y="41"/>
          <a:chExt cx="321" cy="43"/>
        </a:xfrm>
      </xdr:grpSpPr>
      <xdr:sp macro="" textlink="">
        <xdr:nvSpPr>
          <xdr:cNvPr id="45965" name="AutoShape 137"/>
          <xdr:cNvSpPr>
            <a:spLocks noChangeAspect="1" noChangeArrowheads="1" noTextEdit="1"/>
          </xdr:cNvSpPr>
        </xdr:nvSpPr>
        <xdr:spPr bwMode="auto">
          <a:xfrm>
            <a:off x="55" y="41"/>
            <a:ext cx="321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grpSp>
        <xdr:nvGrpSpPr>
          <xdr:cNvPr id="45966" name="Group 141"/>
          <xdr:cNvGrpSpPr>
            <a:grpSpLocks/>
          </xdr:cNvGrpSpPr>
        </xdr:nvGrpSpPr>
        <xdr:grpSpPr bwMode="auto">
          <a:xfrm>
            <a:off x="55" y="41"/>
            <a:ext cx="34" cy="43"/>
            <a:chOff x="55" y="41"/>
            <a:chExt cx="34" cy="43"/>
          </a:xfrm>
        </xdr:grpSpPr>
        <xdr:pic>
          <xdr:nvPicPr>
            <xdr:cNvPr id="45996" name="Grafik 7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5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5997" name="Grafik 7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5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6" name="Rectangle 142">
            <a:extLst/>
          </xdr:cNvPr>
          <xdr:cNvSpPr>
            <a:spLocks noChangeArrowheads="1"/>
          </xdr:cNvSpPr>
        </xdr:nvSpPr>
        <xdr:spPr bwMode="auto">
          <a:xfrm>
            <a:off x="89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5968" name="Group 145"/>
          <xdr:cNvGrpSpPr>
            <a:grpSpLocks/>
          </xdr:cNvGrpSpPr>
        </xdr:nvGrpSpPr>
        <xdr:grpSpPr bwMode="auto">
          <a:xfrm>
            <a:off x="93" y="41"/>
            <a:ext cx="34" cy="43"/>
            <a:chOff x="93" y="41"/>
            <a:chExt cx="34" cy="43"/>
          </a:xfrm>
        </xdr:grpSpPr>
        <xdr:pic>
          <xdr:nvPicPr>
            <xdr:cNvPr id="45994" name="Grafik 6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3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5995" name="Grafik 69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3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8" name="Rectangle 146">
            <a:extLst/>
          </xdr:cNvPr>
          <xdr:cNvSpPr>
            <a:spLocks noChangeArrowheads="1"/>
          </xdr:cNvSpPr>
        </xdr:nvSpPr>
        <xdr:spPr bwMode="auto">
          <a:xfrm>
            <a:off x="127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5970" name="Group 149"/>
          <xdr:cNvGrpSpPr>
            <a:grpSpLocks/>
          </xdr:cNvGrpSpPr>
        </xdr:nvGrpSpPr>
        <xdr:grpSpPr bwMode="auto">
          <a:xfrm>
            <a:off x="130" y="41"/>
            <a:ext cx="39" cy="43"/>
            <a:chOff x="130" y="41"/>
            <a:chExt cx="39" cy="43"/>
          </a:xfrm>
        </xdr:grpSpPr>
        <xdr:pic>
          <xdr:nvPicPr>
            <xdr:cNvPr id="45992" name="Grafik 6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0" y="41"/>
              <a:ext cx="39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5993" name="Grafik 6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0" y="41"/>
              <a:ext cx="39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0" name="Rectangle 150">
            <a:extLst/>
          </xdr:cNvPr>
          <xdr:cNvSpPr>
            <a:spLocks noChangeArrowheads="1"/>
          </xdr:cNvSpPr>
        </xdr:nvSpPr>
        <xdr:spPr bwMode="auto">
          <a:xfrm>
            <a:off x="170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5972" name="Group 153"/>
          <xdr:cNvGrpSpPr>
            <a:grpSpLocks/>
          </xdr:cNvGrpSpPr>
        </xdr:nvGrpSpPr>
        <xdr:grpSpPr bwMode="auto">
          <a:xfrm>
            <a:off x="172" y="41"/>
            <a:ext cx="34" cy="43"/>
            <a:chOff x="172" y="41"/>
            <a:chExt cx="34" cy="43"/>
          </a:xfrm>
        </xdr:grpSpPr>
        <xdr:pic>
          <xdr:nvPicPr>
            <xdr:cNvPr id="45990" name="Grafik 64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2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5991" name="Grafik 6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2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2" name="Rectangle 154">
            <a:extLst/>
          </xdr:cNvPr>
          <xdr:cNvSpPr>
            <a:spLocks noChangeArrowheads="1"/>
          </xdr:cNvSpPr>
        </xdr:nvSpPr>
        <xdr:spPr bwMode="auto">
          <a:xfrm>
            <a:off x="206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5974" name="Group 157"/>
          <xdr:cNvGrpSpPr>
            <a:grpSpLocks/>
          </xdr:cNvGrpSpPr>
        </xdr:nvGrpSpPr>
        <xdr:grpSpPr bwMode="auto">
          <a:xfrm>
            <a:off x="210" y="41"/>
            <a:ext cx="35" cy="43"/>
            <a:chOff x="210" y="41"/>
            <a:chExt cx="35" cy="43"/>
          </a:xfrm>
        </xdr:grpSpPr>
        <xdr:pic>
          <xdr:nvPicPr>
            <xdr:cNvPr id="45988" name="Grafik 6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0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5989" name="Grafik 63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0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4" name="Rectangle 158">
            <a:extLst/>
          </xdr:cNvPr>
          <xdr:cNvSpPr>
            <a:spLocks noChangeArrowheads="1"/>
          </xdr:cNvSpPr>
        </xdr:nvSpPr>
        <xdr:spPr bwMode="auto">
          <a:xfrm>
            <a:off x="245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5976" name="Group 161"/>
          <xdr:cNvGrpSpPr>
            <a:grpSpLocks/>
          </xdr:cNvGrpSpPr>
        </xdr:nvGrpSpPr>
        <xdr:grpSpPr bwMode="auto">
          <a:xfrm>
            <a:off x="249" y="41"/>
            <a:ext cx="33" cy="43"/>
            <a:chOff x="249" y="41"/>
            <a:chExt cx="33" cy="43"/>
          </a:xfrm>
        </xdr:grpSpPr>
        <xdr:pic>
          <xdr:nvPicPr>
            <xdr:cNvPr id="45986" name="Grafik 6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49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5987" name="Grafik 6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49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6" name="Rectangle 162">
            <a:extLst/>
          </xdr:cNvPr>
          <xdr:cNvSpPr>
            <a:spLocks noChangeArrowheads="1"/>
          </xdr:cNvSpPr>
        </xdr:nvSpPr>
        <xdr:spPr bwMode="auto">
          <a:xfrm>
            <a:off x="282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5978" name="Group 165"/>
          <xdr:cNvGrpSpPr>
            <a:grpSpLocks/>
          </xdr:cNvGrpSpPr>
        </xdr:nvGrpSpPr>
        <xdr:grpSpPr bwMode="auto">
          <a:xfrm>
            <a:off x="286" y="41"/>
            <a:ext cx="33" cy="43"/>
            <a:chOff x="286" y="41"/>
            <a:chExt cx="33" cy="43"/>
          </a:xfrm>
        </xdr:grpSpPr>
        <xdr:pic>
          <xdr:nvPicPr>
            <xdr:cNvPr id="45984" name="Grafik 5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86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5985" name="Grafik 59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86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8" name="Rectangle 166">
            <a:extLst/>
          </xdr:cNvPr>
          <xdr:cNvSpPr>
            <a:spLocks noChangeArrowheads="1"/>
          </xdr:cNvSpPr>
        </xdr:nvSpPr>
        <xdr:spPr bwMode="auto">
          <a:xfrm>
            <a:off x="319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5980" name="Group 169"/>
          <xdr:cNvGrpSpPr>
            <a:grpSpLocks/>
          </xdr:cNvGrpSpPr>
        </xdr:nvGrpSpPr>
        <xdr:grpSpPr bwMode="auto">
          <a:xfrm>
            <a:off x="323" y="41"/>
            <a:ext cx="35" cy="43"/>
            <a:chOff x="323" y="41"/>
            <a:chExt cx="35" cy="43"/>
          </a:xfrm>
        </xdr:grpSpPr>
        <xdr:pic>
          <xdr:nvPicPr>
            <xdr:cNvPr id="45982" name="Grafik 5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23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5983" name="Grafik 5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23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20" name="Rectangle 170">
            <a:extLst/>
          </xdr:cNvPr>
          <xdr:cNvSpPr>
            <a:spLocks noChangeArrowheads="1"/>
          </xdr:cNvSpPr>
        </xdr:nvSpPr>
        <xdr:spPr bwMode="auto">
          <a:xfrm>
            <a:off x="358" y="71"/>
            <a:ext cx="1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845820</xdr:colOff>
      <xdr:row>3</xdr:row>
      <xdr:rowOff>9525</xdr:rowOff>
    </xdr:from>
    <xdr:to>
      <xdr:col>7</xdr:col>
      <xdr:colOff>1083945</xdr:colOff>
      <xdr:row>5</xdr:row>
      <xdr:rowOff>19050</xdr:rowOff>
    </xdr:to>
    <xdr:sp macro="" textlink="">
      <xdr:nvSpPr>
        <xdr:cNvPr id="16403" name="Text Box 19">
          <a:extLst/>
        </xdr:cNvPr>
        <xdr:cNvSpPr txBox="1">
          <a:spLocks noChangeArrowheads="1"/>
        </xdr:cNvSpPr>
      </xdr:nvSpPr>
      <xdr:spPr bwMode="auto">
        <a:xfrm>
          <a:off x="5410200" y="495300"/>
          <a:ext cx="4229100" cy="333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Hofdüngeranfall und Stroheinsatz pro Jahr</a:t>
          </a:r>
          <a:endParaRPr lang="de-CH"/>
        </a:p>
      </xdr:txBody>
    </xdr:sp>
    <xdr:clientData/>
  </xdr:twoCellAnchor>
  <xdr:twoCellAnchor>
    <xdr:from>
      <xdr:col>4</xdr:col>
      <xdr:colOff>253365</xdr:colOff>
      <xdr:row>77</xdr:row>
      <xdr:rowOff>0</xdr:rowOff>
    </xdr:from>
    <xdr:to>
      <xdr:col>8</xdr:col>
      <xdr:colOff>112397</xdr:colOff>
      <xdr:row>79</xdr:row>
      <xdr:rowOff>9787</xdr:rowOff>
    </xdr:to>
    <xdr:sp macro="" textlink="">
      <xdr:nvSpPr>
        <xdr:cNvPr id="16406" name="Text Box 22">
          <a:extLst/>
        </xdr:cNvPr>
        <xdr:cNvSpPr txBox="1">
          <a:spLocks noChangeArrowheads="1"/>
        </xdr:cNvSpPr>
      </xdr:nvSpPr>
      <xdr:spPr bwMode="auto">
        <a:xfrm>
          <a:off x="5762625" y="12896850"/>
          <a:ext cx="4019550" cy="333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Abwasseranfall Betrieb und Haus pro Jahr</a:t>
          </a:r>
          <a:endParaRPr lang="de-CH"/>
        </a:p>
      </xdr:txBody>
    </xdr:sp>
    <xdr:clientData/>
  </xdr:twoCellAnchor>
  <xdr:twoCellAnchor>
    <xdr:from>
      <xdr:col>0</xdr:col>
      <xdr:colOff>142875</xdr:colOff>
      <xdr:row>0</xdr:row>
      <xdr:rowOff>38100</xdr:rowOff>
    </xdr:from>
    <xdr:to>
      <xdr:col>3</xdr:col>
      <xdr:colOff>847749</xdr:colOff>
      <xdr:row>4</xdr:row>
      <xdr:rowOff>132080</xdr:rowOff>
    </xdr:to>
    <xdr:grpSp>
      <xdr:nvGrpSpPr>
        <xdr:cNvPr id="48144" name="Group 138"/>
        <xdr:cNvGrpSpPr>
          <a:grpSpLocks noChangeAspect="1"/>
        </xdr:cNvGrpSpPr>
      </xdr:nvGrpSpPr>
      <xdr:grpSpPr bwMode="auto">
        <a:xfrm>
          <a:off x="142875" y="38100"/>
          <a:ext cx="5276874" cy="741680"/>
          <a:chOff x="55" y="41"/>
          <a:chExt cx="321" cy="46"/>
        </a:xfrm>
      </xdr:grpSpPr>
      <xdr:sp macro="" textlink="">
        <xdr:nvSpPr>
          <xdr:cNvPr id="48179" name="AutoShape 137"/>
          <xdr:cNvSpPr>
            <a:spLocks noChangeAspect="1" noChangeArrowheads="1" noTextEdit="1"/>
          </xdr:cNvSpPr>
        </xdr:nvSpPr>
        <xdr:spPr bwMode="auto">
          <a:xfrm>
            <a:off x="55" y="41"/>
            <a:ext cx="321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grpSp>
        <xdr:nvGrpSpPr>
          <xdr:cNvPr id="48180" name="Group 141"/>
          <xdr:cNvGrpSpPr>
            <a:grpSpLocks/>
          </xdr:cNvGrpSpPr>
        </xdr:nvGrpSpPr>
        <xdr:grpSpPr bwMode="auto">
          <a:xfrm>
            <a:off x="55" y="41"/>
            <a:ext cx="34" cy="43"/>
            <a:chOff x="55" y="41"/>
            <a:chExt cx="34" cy="43"/>
          </a:xfrm>
        </xdr:grpSpPr>
        <xdr:pic>
          <xdr:nvPicPr>
            <xdr:cNvPr id="48210" name="Grafik 7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5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8211" name="Grafik 7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5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43" name="Rectangle 142">
            <a:extLst/>
          </xdr:cNvPr>
          <xdr:cNvSpPr>
            <a:spLocks noChangeArrowheads="1"/>
          </xdr:cNvSpPr>
        </xdr:nvSpPr>
        <xdr:spPr bwMode="auto">
          <a:xfrm>
            <a:off x="89" y="73"/>
            <a:ext cx="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8182" name="Group 145"/>
          <xdr:cNvGrpSpPr>
            <a:grpSpLocks/>
          </xdr:cNvGrpSpPr>
        </xdr:nvGrpSpPr>
        <xdr:grpSpPr bwMode="auto">
          <a:xfrm>
            <a:off x="93" y="41"/>
            <a:ext cx="34" cy="43"/>
            <a:chOff x="93" y="41"/>
            <a:chExt cx="34" cy="43"/>
          </a:xfrm>
        </xdr:grpSpPr>
        <xdr:pic>
          <xdr:nvPicPr>
            <xdr:cNvPr id="48208" name="Grafik 6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3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8209" name="Grafik 69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3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45" name="Rectangle 146">
            <a:extLst/>
          </xdr:cNvPr>
          <xdr:cNvSpPr>
            <a:spLocks noChangeArrowheads="1"/>
          </xdr:cNvSpPr>
        </xdr:nvSpPr>
        <xdr:spPr bwMode="auto">
          <a:xfrm>
            <a:off x="127" y="73"/>
            <a:ext cx="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8184" name="Group 149"/>
          <xdr:cNvGrpSpPr>
            <a:grpSpLocks/>
          </xdr:cNvGrpSpPr>
        </xdr:nvGrpSpPr>
        <xdr:grpSpPr bwMode="auto">
          <a:xfrm>
            <a:off x="130" y="41"/>
            <a:ext cx="39" cy="43"/>
            <a:chOff x="130" y="41"/>
            <a:chExt cx="39" cy="43"/>
          </a:xfrm>
        </xdr:grpSpPr>
        <xdr:pic>
          <xdr:nvPicPr>
            <xdr:cNvPr id="48206" name="Grafik 6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0" y="41"/>
              <a:ext cx="39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8207" name="Grafik 6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0" y="41"/>
              <a:ext cx="39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47" name="Rectangle 150">
            <a:extLst/>
          </xdr:cNvPr>
          <xdr:cNvSpPr>
            <a:spLocks noChangeArrowheads="1"/>
          </xdr:cNvSpPr>
        </xdr:nvSpPr>
        <xdr:spPr bwMode="auto">
          <a:xfrm>
            <a:off x="169" y="73"/>
            <a:ext cx="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8186" name="Group 153"/>
          <xdr:cNvGrpSpPr>
            <a:grpSpLocks/>
          </xdr:cNvGrpSpPr>
        </xdr:nvGrpSpPr>
        <xdr:grpSpPr bwMode="auto">
          <a:xfrm>
            <a:off x="172" y="41"/>
            <a:ext cx="34" cy="43"/>
            <a:chOff x="172" y="41"/>
            <a:chExt cx="34" cy="43"/>
          </a:xfrm>
        </xdr:grpSpPr>
        <xdr:pic>
          <xdr:nvPicPr>
            <xdr:cNvPr id="48204" name="Grafik 64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2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8205" name="Grafik 6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2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49" name="Rectangle 154">
            <a:extLst/>
          </xdr:cNvPr>
          <xdr:cNvSpPr>
            <a:spLocks noChangeArrowheads="1"/>
          </xdr:cNvSpPr>
        </xdr:nvSpPr>
        <xdr:spPr bwMode="auto">
          <a:xfrm>
            <a:off x="206" y="73"/>
            <a:ext cx="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8188" name="Group 157"/>
          <xdr:cNvGrpSpPr>
            <a:grpSpLocks/>
          </xdr:cNvGrpSpPr>
        </xdr:nvGrpSpPr>
        <xdr:grpSpPr bwMode="auto">
          <a:xfrm>
            <a:off x="210" y="41"/>
            <a:ext cx="35" cy="43"/>
            <a:chOff x="210" y="41"/>
            <a:chExt cx="35" cy="43"/>
          </a:xfrm>
        </xdr:grpSpPr>
        <xdr:pic>
          <xdr:nvPicPr>
            <xdr:cNvPr id="48202" name="Grafik 6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0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8203" name="Grafik 63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0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51" name="Rectangle 158">
            <a:extLst/>
          </xdr:cNvPr>
          <xdr:cNvSpPr>
            <a:spLocks noChangeArrowheads="1"/>
          </xdr:cNvSpPr>
        </xdr:nvSpPr>
        <xdr:spPr bwMode="auto">
          <a:xfrm>
            <a:off x="245" y="73"/>
            <a:ext cx="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8190" name="Group 161"/>
          <xdr:cNvGrpSpPr>
            <a:grpSpLocks/>
          </xdr:cNvGrpSpPr>
        </xdr:nvGrpSpPr>
        <xdr:grpSpPr bwMode="auto">
          <a:xfrm>
            <a:off x="249" y="41"/>
            <a:ext cx="33" cy="43"/>
            <a:chOff x="249" y="41"/>
            <a:chExt cx="33" cy="43"/>
          </a:xfrm>
        </xdr:grpSpPr>
        <xdr:pic>
          <xdr:nvPicPr>
            <xdr:cNvPr id="48200" name="Grafik 6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49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8201" name="Grafik 6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49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53" name="Rectangle 162">
            <a:extLst/>
          </xdr:cNvPr>
          <xdr:cNvSpPr>
            <a:spLocks noChangeArrowheads="1"/>
          </xdr:cNvSpPr>
        </xdr:nvSpPr>
        <xdr:spPr bwMode="auto">
          <a:xfrm>
            <a:off x="282" y="73"/>
            <a:ext cx="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8192" name="Group 165"/>
          <xdr:cNvGrpSpPr>
            <a:grpSpLocks/>
          </xdr:cNvGrpSpPr>
        </xdr:nvGrpSpPr>
        <xdr:grpSpPr bwMode="auto">
          <a:xfrm>
            <a:off x="286" y="41"/>
            <a:ext cx="33" cy="43"/>
            <a:chOff x="286" y="41"/>
            <a:chExt cx="33" cy="43"/>
          </a:xfrm>
        </xdr:grpSpPr>
        <xdr:pic>
          <xdr:nvPicPr>
            <xdr:cNvPr id="48198" name="Grafik 5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86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8199" name="Grafik 59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86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55" name="Rectangle 166">
            <a:extLst/>
          </xdr:cNvPr>
          <xdr:cNvSpPr>
            <a:spLocks noChangeArrowheads="1"/>
          </xdr:cNvSpPr>
        </xdr:nvSpPr>
        <xdr:spPr bwMode="auto">
          <a:xfrm>
            <a:off x="319" y="73"/>
            <a:ext cx="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8194" name="Group 169"/>
          <xdr:cNvGrpSpPr>
            <a:grpSpLocks/>
          </xdr:cNvGrpSpPr>
        </xdr:nvGrpSpPr>
        <xdr:grpSpPr bwMode="auto">
          <a:xfrm>
            <a:off x="323" y="41"/>
            <a:ext cx="35" cy="43"/>
            <a:chOff x="323" y="41"/>
            <a:chExt cx="35" cy="43"/>
          </a:xfrm>
        </xdr:grpSpPr>
        <xdr:pic>
          <xdr:nvPicPr>
            <xdr:cNvPr id="48196" name="Grafik 5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23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8197" name="Grafik 5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23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57" name="Rectangle 170">
            <a:extLst/>
          </xdr:cNvPr>
          <xdr:cNvSpPr>
            <a:spLocks noChangeArrowheads="1"/>
          </xdr:cNvSpPr>
        </xdr:nvSpPr>
        <xdr:spPr bwMode="auto">
          <a:xfrm>
            <a:off x="357" y="73"/>
            <a:ext cx="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</xdr:grpSp>
    <xdr:clientData/>
  </xdr:twoCellAnchor>
  <xdr:twoCellAnchor>
    <xdr:from>
      <xdr:col>0</xdr:col>
      <xdr:colOff>133350</xdr:colOff>
      <xdr:row>74</xdr:row>
      <xdr:rowOff>45720</xdr:rowOff>
    </xdr:from>
    <xdr:to>
      <xdr:col>3</xdr:col>
      <xdr:colOff>419100</xdr:colOff>
      <xdr:row>78</xdr:row>
      <xdr:rowOff>57150</xdr:rowOff>
    </xdr:to>
    <xdr:grpSp>
      <xdr:nvGrpSpPr>
        <xdr:cNvPr id="48145" name="Group 138"/>
        <xdr:cNvGrpSpPr>
          <a:grpSpLocks noChangeAspect="1"/>
        </xdr:cNvGrpSpPr>
      </xdr:nvGrpSpPr>
      <xdr:grpSpPr bwMode="auto">
        <a:xfrm>
          <a:off x="133350" y="13495020"/>
          <a:ext cx="4857750" cy="659130"/>
          <a:chOff x="55" y="41"/>
          <a:chExt cx="321" cy="43"/>
        </a:xfrm>
      </xdr:grpSpPr>
      <xdr:sp macro="" textlink="">
        <xdr:nvSpPr>
          <xdr:cNvPr id="48146" name="AutoShape 137"/>
          <xdr:cNvSpPr>
            <a:spLocks noChangeAspect="1" noChangeArrowheads="1" noTextEdit="1"/>
          </xdr:cNvSpPr>
        </xdr:nvSpPr>
        <xdr:spPr bwMode="auto">
          <a:xfrm>
            <a:off x="55" y="41"/>
            <a:ext cx="321" cy="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grpSp>
        <xdr:nvGrpSpPr>
          <xdr:cNvPr id="48147" name="Group 141"/>
          <xdr:cNvGrpSpPr>
            <a:grpSpLocks/>
          </xdr:cNvGrpSpPr>
        </xdr:nvGrpSpPr>
        <xdr:grpSpPr bwMode="auto">
          <a:xfrm>
            <a:off x="55" y="41"/>
            <a:ext cx="34" cy="43"/>
            <a:chOff x="55" y="41"/>
            <a:chExt cx="34" cy="43"/>
          </a:xfrm>
        </xdr:grpSpPr>
        <xdr:pic>
          <xdr:nvPicPr>
            <xdr:cNvPr id="48177" name="Grafik 7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5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8178" name="Grafik 7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5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77" name="Rectangle 142">
            <a:extLst/>
          </xdr:cNvPr>
          <xdr:cNvSpPr>
            <a:spLocks noChangeArrowheads="1"/>
          </xdr:cNvSpPr>
        </xdr:nvSpPr>
        <xdr:spPr bwMode="auto">
          <a:xfrm>
            <a:off x="92" y="69"/>
            <a:ext cx="1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8149" name="Group 145"/>
          <xdr:cNvGrpSpPr>
            <a:grpSpLocks/>
          </xdr:cNvGrpSpPr>
        </xdr:nvGrpSpPr>
        <xdr:grpSpPr bwMode="auto">
          <a:xfrm>
            <a:off x="93" y="41"/>
            <a:ext cx="34" cy="43"/>
            <a:chOff x="93" y="41"/>
            <a:chExt cx="34" cy="43"/>
          </a:xfrm>
        </xdr:grpSpPr>
        <xdr:pic>
          <xdr:nvPicPr>
            <xdr:cNvPr id="48175" name="Grafik 6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3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8176" name="Grafik 69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3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79" name="Rectangle 146">
            <a:extLst/>
          </xdr:cNvPr>
          <xdr:cNvSpPr>
            <a:spLocks noChangeArrowheads="1"/>
          </xdr:cNvSpPr>
        </xdr:nvSpPr>
        <xdr:spPr bwMode="auto">
          <a:xfrm>
            <a:off x="127" y="69"/>
            <a:ext cx="1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8151" name="Group 149"/>
          <xdr:cNvGrpSpPr>
            <a:grpSpLocks/>
          </xdr:cNvGrpSpPr>
        </xdr:nvGrpSpPr>
        <xdr:grpSpPr bwMode="auto">
          <a:xfrm>
            <a:off x="130" y="41"/>
            <a:ext cx="39" cy="43"/>
            <a:chOff x="130" y="41"/>
            <a:chExt cx="39" cy="43"/>
          </a:xfrm>
        </xdr:grpSpPr>
        <xdr:pic>
          <xdr:nvPicPr>
            <xdr:cNvPr id="48173" name="Grafik 6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0" y="41"/>
              <a:ext cx="39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8174" name="Grafik 6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0" y="41"/>
              <a:ext cx="39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81" name="Rectangle 150">
            <a:extLst/>
          </xdr:cNvPr>
          <xdr:cNvSpPr>
            <a:spLocks noChangeArrowheads="1"/>
          </xdr:cNvSpPr>
        </xdr:nvSpPr>
        <xdr:spPr bwMode="auto">
          <a:xfrm>
            <a:off x="170" y="69"/>
            <a:ext cx="1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8153" name="Group 153"/>
          <xdr:cNvGrpSpPr>
            <a:grpSpLocks/>
          </xdr:cNvGrpSpPr>
        </xdr:nvGrpSpPr>
        <xdr:grpSpPr bwMode="auto">
          <a:xfrm>
            <a:off x="172" y="41"/>
            <a:ext cx="34" cy="43"/>
            <a:chOff x="172" y="41"/>
            <a:chExt cx="34" cy="43"/>
          </a:xfrm>
        </xdr:grpSpPr>
        <xdr:pic>
          <xdr:nvPicPr>
            <xdr:cNvPr id="48171" name="Grafik 64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2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8172" name="Grafik 6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72" y="41"/>
              <a:ext cx="34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83" name="Rectangle 154">
            <a:extLst/>
          </xdr:cNvPr>
          <xdr:cNvSpPr>
            <a:spLocks noChangeArrowheads="1"/>
          </xdr:cNvSpPr>
        </xdr:nvSpPr>
        <xdr:spPr bwMode="auto">
          <a:xfrm>
            <a:off x="207" y="69"/>
            <a:ext cx="1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8155" name="Group 157"/>
          <xdr:cNvGrpSpPr>
            <a:grpSpLocks/>
          </xdr:cNvGrpSpPr>
        </xdr:nvGrpSpPr>
        <xdr:grpSpPr bwMode="auto">
          <a:xfrm>
            <a:off x="210" y="41"/>
            <a:ext cx="35" cy="43"/>
            <a:chOff x="210" y="41"/>
            <a:chExt cx="35" cy="43"/>
          </a:xfrm>
        </xdr:grpSpPr>
        <xdr:pic>
          <xdr:nvPicPr>
            <xdr:cNvPr id="48169" name="Grafik 6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0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8170" name="Grafik 63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0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85" name="Rectangle 158">
            <a:extLst/>
          </xdr:cNvPr>
          <xdr:cNvSpPr>
            <a:spLocks noChangeArrowheads="1"/>
          </xdr:cNvSpPr>
        </xdr:nvSpPr>
        <xdr:spPr bwMode="auto">
          <a:xfrm>
            <a:off x="245" y="69"/>
            <a:ext cx="1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8157" name="Group 161"/>
          <xdr:cNvGrpSpPr>
            <a:grpSpLocks/>
          </xdr:cNvGrpSpPr>
        </xdr:nvGrpSpPr>
        <xdr:grpSpPr bwMode="auto">
          <a:xfrm>
            <a:off x="249" y="41"/>
            <a:ext cx="33" cy="43"/>
            <a:chOff x="249" y="41"/>
            <a:chExt cx="33" cy="43"/>
          </a:xfrm>
        </xdr:grpSpPr>
        <xdr:pic>
          <xdr:nvPicPr>
            <xdr:cNvPr id="48167" name="Grafik 6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49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8168" name="Grafik 6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49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87" name="Rectangle 162">
            <a:extLst/>
          </xdr:cNvPr>
          <xdr:cNvSpPr>
            <a:spLocks noChangeArrowheads="1"/>
          </xdr:cNvSpPr>
        </xdr:nvSpPr>
        <xdr:spPr bwMode="auto">
          <a:xfrm>
            <a:off x="282" y="69"/>
            <a:ext cx="1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8159" name="Group 165"/>
          <xdr:cNvGrpSpPr>
            <a:grpSpLocks/>
          </xdr:cNvGrpSpPr>
        </xdr:nvGrpSpPr>
        <xdr:grpSpPr bwMode="auto">
          <a:xfrm>
            <a:off x="286" y="41"/>
            <a:ext cx="33" cy="43"/>
            <a:chOff x="286" y="41"/>
            <a:chExt cx="33" cy="43"/>
          </a:xfrm>
        </xdr:grpSpPr>
        <xdr:pic>
          <xdr:nvPicPr>
            <xdr:cNvPr id="48165" name="Grafik 5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86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8166" name="Grafik 59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86" y="41"/>
              <a:ext cx="33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89" name="Rectangle 166">
            <a:extLst/>
          </xdr:cNvPr>
          <xdr:cNvSpPr>
            <a:spLocks noChangeArrowheads="1"/>
          </xdr:cNvSpPr>
        </xdr:nvSpPr>
        <xdr:spPr bwMode="auto">
          <a:xfrm>
            <a:off x="320" y="69"/>
            <a:ext cx="1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  <xdr:grpSp>
        <xdr:nvGrpSpPr>
          <xdr:cNvPr id="48161" name="Group 169"/>
          <xdr:cNvGrpSpPr>
            <a:grpSpLocks/>
          </xdr:cNvGrpSpPr>
        </xdr:nvGrpSpPr>
        <xdr:grpSpPr bwMode="auto">
          <a:xfrm>
            <a:off x="323" y="41"/>
            <a:ext cx="35" cy="43"/>
            <a:chOff x="323" y="41"/>
            <a:chExt cx="35" cy="43"/>
          </a:xfrm>
        </xdr:grpSpPr>
        <xdr:pic>
          <xdr:nvPicPr>
            <xdr:cNvPr id="48163" name="Grafik 5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23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8164" name="Grafik 5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23" y="41"/>
              <a:ext cx="35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91" name="Rectangle 170">
            <a:extLst/>
          </xdr:cNvPr>
          <xdr:cNvSpPr>
            <a:spLocks noChangeArrowheads="1"/>
          </xdr:cNvSpPr>
        </xdr:nvSpPr>
        <xdr:spPr bwMode="auto">
          <a:xfrm>
            <a:off x="356" y="69"/>
            <a:ext cx="1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de-CH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umaazue\AppData\Local\Microsoft\windows\INetCache\Content.Outlook\1B0W613E\Berechnung%20Lagerkapazitaet%20Hofduenger%20Koordination%20NWCH_April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esse + Ergebnis "/>
      <sheetName val="Rindvieh, Schweine, Geflügel"/>
      <sheetName val="Diverse Tiere"/>
      <sheetName val="Abwasser, Hofdüngerlager"/>
      <sheetName val="Abwasser landwirt. Nebenerwerb"/>
      <sheetName val="Grundlagen GRUD"/>
    </sheetNames>
    <sheetDataSet>
      <sheetData sheetId="0"/>
      <sheetData sheetId="1"/>
      <sheetData sheetId="2"/>
      <sheetData sheetId="3"/>
      <sheetData sheetId="4"/>
      <sheetData sheetId="5">
        <row r="28">
          <cell r="A28" t="str">
            <v xml:space="preserve">Rindviehmast, bis Alter 160 Tage  </v>
          </cell>
        </row>
        <row r="29">
          <cell r="A29" t="str">
            <v xml:space="preserve">Rindviehmast, Alter &gt; 160 Tage  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indexed="10"/>
  </sheetPr>
  <dimension ref="A1:AA47"/>
  <sheetViews>
    <sheetView showGridLines="0" showZeros="0" tabSelected="1" zoomScaleNormal="100" zoomScaleSheetLayoutView="70" zoomScalePageLayoutView="25" workbookViewId="0">
      <selection activeCell="B5" sqref="B5:C5"/>
    </sheetView>
  </sheetViews>
  <sheetFormatPr baseColWidth="10" defaultColWidth="11.42578125" defaultRowHeight="12.75" x14ac:dyDescent="0.2"/>
  <cols>
    <col min="1" max="1" width="14.42578125" style="8" customWidth="1"/>
    <col min="2" max="2" width="7.7109375" style="8" customWidth="1"/>
    <col min="3" max="3" width="8.5703125" style="8" customWidth="1"/>
    <col min="4" max="4" width="6.7109375" style="8" customWidth="1"/>
    <col min="5" max="5" width="10" style="8" customWidth="1"/>
    <col min="6" max="6" width="16.85546875" style="8" customWidth="1"/>
    <col min="7" max="7" width="4.85546875" style="8" customWidth="1"/>
    <col min="8" max="8" width="5.28515625" style="8" customWidth="1"/>
    <col min="9" max="10" width="7.28515625" style="8" customWidth="1"/>
    <col min="11" max="11" width="6.5703125" style="8" customWidth="1"/>
    <col min="12" max="12" width="8.28515625" style="108" customWidth="1"/>
    <col min="13" max="13" width="8.140625" style="8" customWidth="1"/>
    <col min="14" max="14" width="7.85546875" style="8" customWidth="1"/>
    <col min="15" max="15" width="8" style="8" customWidth="1"/>
    <col min="16" max="17" width="17.140625" style="5" customWidth="1"/>
    <col min="18" max="19" width="17.140625" style="6" hidden="1" customWidth="1"/>
    <col min="20" max="21" width="11.42578125" style="6" hidden="1" customWidth="1"/>
    <col min="22" max="22" width="13" style="6" hidden="1" customWidth="1"/>
    <col min="23" max="23" width="11.42578125" style="7" hidden="1" customWidth="1"/>
    <col min="24" max="26" width="11.42578125" style="8" hidden="1" customWidth="1"/>
    <col min="27" max="16384" width="11.42578125" style="8"/>
  </cols>
  <sheetData>
    <row r="1" spans="1:27" ht="105.75" customHeight="1" x14ac:dyDescent="0.25">
      <c r="A1" s="1"/>
      <c r="B1" s="2"/>
      <c r="C1" s="2"/>
      <c r="D1" s="2"/>
      <c r="E1" s="2"/>
      <c r="F1" s="3"/>
      <c r="G1" s="494" t="s">
        <v>280</v>
      </c>
      <c r="H1" s="495"/>
      <c r="I1" s="495"/>
      <c r="J1" s="838" t="s">
        <v>347</v>
      </c>
      <c r="K1" s="839"/>
      <c r="L1" s="839"/>
      <c r="M1" s="839"/>
      <c r="N1" s="839"/>
      <c r="O1" s="839"/>
    </row>
    <row r="2" spans="1:27" ht="36" customHeight="1" x14ac:dyDescent="0.5">
      <c r="A2" s="9" t="s">
        <v>374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850"/>
      <c r="O2" s="850"/>
    </row>
    <row r="3" spans="1:27" ht="24.75" customHeight="1" thickBot="1" x14ac:dyDescent="0.3">
      <c r="A3" s="336" t="s">
        <v>307</v>
      </c>
      <c r="D3" s="808" t="str">
        <f>IF($X$23=22,"","Achtung, fehlende Angaben. Bitte betroffene Felder ausfüllen.")</f>
        <v/>
      </c>
      <c r="E3" s="808"/>
      <c r="F3" s="808"/>
      <c r="G3" s="808"/>
      <c r="H3" s="808"/>
      <c r="I3" s="808"/>
      <c r="J3" s="808"/>
      <c r="K3" s="808"/>
      <c r="L3" s="808"/>
      <c r="M3" s="12"/>
      <c r="N3" s="13"/>
      <c r="O3" s="14"/>
    </row>
    <row r="4" spans="1:27" s="15" customFormat="1" ht="7.5" hidden="1" customHeight="1" x14ac:dyDescent="0.2">
      <c r="A4" s="851"/>
      <c r="B4" s="851"/>
      <c r="C4" s="851"/>
      <c r="D4" s="851"/>
      <c r="E4" s="851"/>
      <c r="F4" s="851"/>
      <c r="P4" s="16"/>
      <c r="Q4" s="16"/>
      <c r="R4" s="17"/>
      <c r="S4" s="17"/>
      <c r="T4" s="17"/>
      <c r="U4" s="17"/>
      <c r="V4" s="17"/>
      <c r="W4" s="18"/>
    </row>
    <row r="5" spans="1:27" s="23" customFormat="1" ht="30" customHeight="1" x14ac:dyDescent="0.25">
      <c r="A5" s="465" t="s">
        <v>1</v>
      </c>
      <c r="B5" s="848"/>
      <c r="C5" s="849"/>
      <c r="D5" s="847" t="s">
        <v>38</v>
      </c>
      <c r="E5" s="847"/>
      <c r="F5" s="463"/>
      <c r="G5" s="809" t="s">
        <v>254</v>
      </c>
      <c r="H5" s="822" t="s">
        <v>252</v>
      </c>
      <c r="I5" s="823"/>
      <c r="J5" s="823"/>
      <c r="K5" s="823"/>
      <c r="L5" s="823"/>
      <c r="M5" s="824"/>
      <c r="N5" s="824"/>
      <c r="O5" s="825"/>
      <c r="P5" s="19"/>
      <c r="Q5" s="19"/>
      <c r="R5" s="20"/>
      <c r="S5" s="20"/>
      <c r="T5" s="17" t="s">
        <v>117</v>
      </c>
      <c r="U5" s="20"/>
      <c r="V5" s="529">
        <f>IF(F5="Talzone",5,0)</f>
        <v>0</v>
      </c>
      <c r="W5" s="21"/>
      <c r="X5" s="22"/>
      <c r="Y5" s="22"/>
      <c r="Z5" s="22"/>
      <c r="AA5" s="22"/>
    </row>
    <row r="6" spans="1:27" s="15" customFormat="1" ht="30" customHeight="1" x14ac:dyDescent="0.25">
      <c r="A6" s="840" t="s">
        <v>260</v>
      </c>
      <c r="B6" s="841"/>
      <c r="C6" s="818"/>
      <c r="D6" s="467">
        <f>IF(K7="Ja, mehr als 50% der Nährstoffe",6,SUM(V5:V7))</f>
        <v>0</v>
      </c>
      <c r="E6" s="466"/>
      <c r="F6" s="464"/>
      <c r="G6" s="810"/>
      <c r="H6" s="837" t="s">
        <v>253</v>
      </c>
      <c r="I6" s="837"/>
      <c r="J6" s="837"/>
      <c r="K6" s="837"/>
      <c r="L6" s="837"/>
      <c r="M6" s="835"/>
      <c r="N6" s="835"/>
      <c r="O6" s="836"/>
      <c r="P6" s="16"/>
      <c r="Q6" s="16"/>
      <c r="R6" s="17"/>
      <c r="S6" s="17"/>
      <c r="T6" s="17" t="s">
        <v>118</v>
      </c>
      <c r="U6" s="17"/>
      <c r="V6" s="529">
        <f>IF(F5="Hügelzone",5,0)</f>
        <v>0</v>
      </c>
      <c r="W6" s="18"/>
    </row>
    <row r="7" spans="1:27" s="15" customFormat="1" ht="30" customHeight="1" thickBot="1" x14ac:dyDescent="0.3">
      <c r="A7" s="833" t="s">
        <v>250</v>
      </c>
      <c r="B7" s="819"/>
      <c r="C7" s="820"/>
      <c r="D7" s="820"/>
      <c r="E7" s="820"/>
      <c r="F7" s="821"/>
      <c r="G7" s="811"/>
      <c r="H7" s="826" t="s">
        <v>259</v>
      </c>
      <c r="I7" s="826"/>
      <c r="J7" s="826"/>
      <c r="K7" s="852"/>
      <c r="L7" s="852"/>
      <c r="M7" s="852"/>
      <c r="N7" s="852"/>
      <c r="O7" s="853"/>
      <c r="P7" s="16"/>
      <c r="Q7" s="16"/>
      <c r="R7" s="17"/>
      <c r="S7" s="17"/>
      <c r="T7" s="17" t="s">
        <v>119</v>
      </c>
      <c r="U7" s="17"/>
      <c r="V7" s="529">
        <f>IF(F5="Bergzone",6,0)</f>
        <v>0</v>
      </c>
      <c r="W7" s="18"/>
    </row>
    <row r="8" spans="1:27" ht="30" customHeight="1" x14ac:dyDescent="0.2">
      <c r="A8" s="834"/>
      <c r="B8" s="806"/>
      <c r="C8" s="807"/>
      <c r="D8" s="807"/>
      <c r="E8" s="807"/>
      <c r="F8" s="807"/>
      <c r="G8" s="815" t="s">
        <v>255</v>
      </c>
      <c r="H8" s="816"/>
      <c r="I8" s="827"/>
      <c r="J8" s="828"/>
      <c r="K8" s="828"/>
      <c r="L8" s="828"/>
      <c r="M8" s="828"/>
      <c r="N8" s="828"/>
      <c r="O8" s="829"/>
    </row>
    <row r="9" spans="1:27" ht="30" customHeight="1" x14ac:dyDescent="0.2">
      <c r="A9" s="26" t="s">
        <v>2</v>
      </c>
      <c r="B9" s="806"/>
      <c r="C9" s="807"/>
      <c r="D9" s="807"/>
      <c r="E9" s="807"/>
      <c r="F9" s="807"/>
      <c r="G9" s="817" t="s">
        <v>256</v>
      </c>
      <c r="H9" s="818"/>
      <c r="I9" s="830"/>
      <c r="J9" s="831"/>
      <c r="K9" s="831"/>
      <c r="L9" s="831"/>
      <c r="M9" s="831"/>
      <c r="N9" s="831"/>
      <c r="O9" s="832"/>
    </row>
    <row r="10" spans="1:27" ht="30" customHeight="1" x14ac:dyDescent="0.25">
      <c r="A10" s="28" t="s">
        <v>36</v>
      </c>
      <c r="B10" s="842"/>
      <c r="C10" s="843"/>
      <c r="D10" s="843"/>
      <c r="E10" s="843"/>
      <c r="F10" s="843"/>
      <c r="G10" s="817" t="s">
        <v>257</v>
      </c>
      <c r="H10" s="818"/>
      <c r="I10" s="830"/>
      <c r="J10" s="831"/>
      <c r="K10" s="831"/>
      <c r="L10" s="831"/>
      <c r="M10" s="831"/>
      <c r="N10" s="831"/>
      <c r="O10" s="832"/>
      <c r="T10" s="531" t="s">
        <v>286</v>
      </c>
      <c r="V10" s="530" t="s">
        <v>285</v>
      </c>
      <c r="W10" s="7" t="s">
        <v>287</v>
      </c>
    </row>
    <row r="11" spans="1:27" ht="30" customHeight="1" thickBot="1" x14ac:dyDescent="0.3">
      <c r="A11" s="29" t="s">
        <v>34</v>
      </c>
      <c r="B11" s="852"/>
      <c r="C11" s="859"/>
      <c r="D11" s="856" t="s">
        <v>249</v>
      </c>
      <c r="E11" s="856"/>
      <c r="F11" s="462"/>
      <c r="G11" s="857" t="s">
        <v>258</v>
      </c>
      <c r="H11" s="858"/>
      <c r="I11" s="844"/>
      <c r="J11" s="845"/>
      <c r="K11" s="845"/>
      <c r="L11" s="845"/>
      <c r="M11" s="845"/>
      <c r="N11" s="845"/>
      <c r="O11" s="846"/>
      <c r="R11" s="531" t="s">
        <v>289</v>
      </c>
      <c r="T11" s="532" t="str">
        <f>A5</f>
        <v>Betrieb-Nr.:</v>
      </c>
      <c r="U11" s="532"/>
      <c r="V11" s="532" t="str">
        <f>IF(B5=0,"Nein","Ja")</f>
        <v>Nein</v>
      </c>
      <c r="W11" s="533" t="str">
        <f>IF(AND($R$12="Ja",OR(V11="Nein",V11="Ja")),"Ja","Nein")</f>
        <v>Nein</v>
      </c>
      <c r="X11" s="534">
        <f>IF(AND(V11="Nein",W11="Ja"),1,2)</f>
        <v>2</v>
      </c>
    </row>
    <row r="12" spans="1:27" ht="42.75" customHeight="1" thickBot="1" x14ac:dyDescent="0.45">
      <c r="A12" s="31" t="s">
        <v>104</v>
      </c>
      <c r="B12" s="10"/>
      <c r="C12" s="10"/>
      <c r="D12" s="10"/>
      <c r="E12" s="10"/>
      <c r="F12" s="10"/>
      <c r="G12" s="32"/>
      <c r="H12" s="32"/>
      <c r="I12" s="33"/>
      <c r="J12" s="33"/>
      <c r="K12" s="33"/>
      <c r="L12" s="34"/>
      <c r="M12" s="34"/>
      <c r="N12" s="35"/>
      <c r="O12" s="35"/>
      <c r="R12" s="6" t="str">
        <f>IF(SUM(L14:L20,L26:L29,N26:N29,L30:L31,N30:N31)&gt;0,"Ja","Nein")</f>
        <v>Nein</v>
      </c>
      <c r="T12" s="532" t="str">
        <f>D5</f>
        <v>Produktions-Zone:</v>
      </c>
      <c r="U12" s="535"/>
      <c r="V12" s="532" t="str">
        <f>IF(F5=0,"Nein","Ja")</f>
        <v>Nein</v>
      </c>
      <c r="W12" s="533" t="str">
        <f>IF(AND($R$12="Ja",OR(V12="Nein",V12="Ja")),"Ja","Nein")</f>
        <v>Nein</v>
      </c>
      <c r="X12" s="534">
        <f>IF(AND(V12="Nein",W12="Ja"),1,2)</f>
        <v>2</v>
      </c>
      <c r="Y12" s="15"/>
    </row>
    <row r="13" spans="1:27" ht="20.25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804" t="s">
        <v>54</v>
      </c>
      <c r="M13" s="804"/>
      <c r="N13" s="804" t="s">
        <v>55</v>
      </c>
      <c r="O13" s="805"/>
      <c r="R13" s="17"/>
      <c r="T13" s="532" t="str">
        <f>H5</f>
        <v>Landwirtschaftliche Nutzfläche (ha):</v>
      </c>
      <c r="U13" s="535"/>
      <c r="V13" s="532" t="str">
        <f>IF(M5=0,"Nein","Ja")</f>
        <v>Nein</v>
      </c>
      <c r="W13" s="533" t="str">
        <f t="shared" ref="W13:W22" si="0">IF(AND($R$12="Ja",OR(V13="Nein",V13="Ja")),"Ja","Nein")</f>
        <v>Nein</v>
      </c>
      <c r="X13" s="534">
        <f>IF(AND(V13="Nein",W13="Ja"),1,2)</f>
        <v>2</v>
      </c>
      <c r="Y13" s="15"/>
    </row>
    <row r="14" spans="1:27" ht="20.25" customHeight="1" x14ac:dyDescent="0.2">
      <c r="A14" s="812" t="s">
        <v>248</v>
      </c>
      <c r="B14" s="813"/>
      <c r="C14" s="813"/>
      <c r="D14" s="814"/>
      <c r="E14" s="814"/>
      <c r="F14" s="814"/>
      <c r="G14" s="39"/>
      <c r="H14" s="39"/>
      <c r="I14" s="39"/>
      <c r="J14" s="39"/>
      <c r="K14" s="41"/>
      <c r="L14" s="444">
        <f>'Rindvieh, Schweine, Geflügel'!Q28+'Rindvieh, Schweine, Geflügel'!Q38</f>
        <v>0</v>
      </c>
      <c r="M14" s="42" t="s">
        <v>121</v>
      </c>
      <c r="N14" s="447"/>
      <c r="O14" s="500"/>
      <c r="T14" s="532" t="str">
        <f>A9</f>
        <v>Gemeinde:</v>
      </c>
      <c r="U14" s="535"/>
      <c r="V14" s="532" t="str">
        <f>IF(B9=0,"Nein","Ja")</f>
        <v>Nein</v>
      </c>
      <c r="W14" s="533" t="str">
        <f t="shared" si="0"/>
        <v>Nein</v>
      </c>
      <c r="X14" s="534">
        <f t="shared" ref="X14:X22" si="1">IF(AND(V14="Nein",W14="Ja"),1,2)</f>
        <v>2</v>
      </c>
      <c r="Y14" s="15"/>
    </row>
    <row r="15" spans="1:27" ht="20.25" customHeight="1" x14ac:dyDescent="0.2">
      <c r="A15" s="38" t="s">
        <v>230</v>
      </c>
      <c r="B15" s="696" t="s">
        <v>337</v>
      </c>
      <c r="C15" s="39"/>
      <c r="D15" s="40"/>
      <c r="E15" s="40"/>
      <c r="F15" s="40"/>
      <c r="G15" s="39"/>
      <c r="H15" s="39"/>
      <c r="I15" s="39"/>
      <c r="J15" s="39"/>
      <c r="K15" s="41"/>
      <c r="L15" s="444">
        <f>'Rindvieh, Schweine, Geflügel'!Q46+'Diverse Tiere'!Q14+'Diverse Tiere'!Q20+'Diverse Tiere'!Q26+'Diverse Tiere'!Q31+'Diverse Tiere'!Q42</f>
        <v>0</v>
      </c>
      <c r="M15" s="42" t="s">
        <v>121</v>
      </c>
      <c r="N15" s="448"/>
      <c r="O15" s="501"/>
      <c r="T15" s="532" t="str">
        <f>H6</f>
        <v>Düngbare Fläche (ha):</v>
      </c>
      <c r="U15" s="535"/>
      <c r="V15" s="532" t="str">
        <f>IF(M6=0,"Nein","Ja")</f>
        <v>Nein</v>
      </c>
      <c r="W15" s="533" t="str">
        <f t="shared" si="0"/>
        <v>Nein</v>
      </c>
      <c r="X15" s="534">
        <f t="shared" si="1"/>
        <v>2</v>
      </c>
      <c r="Y15" s="15"/>
    </row>
    <row r="16" spans="1:27" ht="20.25" customHeight="1" x14ac:dyDescent="0.2">
      <c r="A16" s="689" t="s">
        <v>339</v>
      </c>
      <c r="B16" s="693"/>
      <c r="C16" s="693"/>
      <c r="D16" s="696" t="s">
        <v>340</v>
      </c>
      <c r="E16" s="690"/>
      <c r="F16" s="690"/>
      <c r="G16" s="693"/>
      <c r="H16" s="693"/>
      <c r="I16" s="693"/>
      <c r="J16" s="693"/>
      <c r="K16" s="41"/>
      <c r="L16" s="707"/>
      <c r="M16" s="42" t="s">
        <v>121</v>
      </c>
      <c r="N16" s="448"/>
      <c r="O16" s="501"/>
      <c r="T16" s="532"/>
      <c r="U16" s="535"/>
      <c r="V16" s="532"/>
      <c r="W16" s="533"/>
      <c r="X16" s="534"/>
      <c r="Y16" s="15"/>
    </row>
    <row r="17" spans="1:25" ht="20.25" customHeight="1" x14ac:dyDescent="0.2">
      <c r="A17" s="812" t="s">
        <v>12</v>
      </c>
      <c r="B17" s="813"/>
      <c r="C17" s="813"/>
      <c r="D17" s="813"/>
      <c r="E17" s="39"/>
      <c r="F17" s="39"/>
      <c r="G17" s="39"/>
      <c r="H17" s="39"/>
      <c r="I17" s="39"/>
      <c r="J17" s="39"/>
      <c r="K17" s="41"/>
      <c r="L17" s="444">
        <f>'Abwasser, Hofdüngerlager'!N37</f>
        <v>0</v>
      </c>
      <c r="M17" s="42" t="s">
        <v>121</v>
      </c>
      <c r="N17" s="448"/>
      <c r="O17" s="501"/>
      <c r="R17" s="17"/>
      <c r="T17" s="532" t="str">
        <f>D11</f>
        <v>Erstelldatum:</v>
      </c>
      <c r="U17" s="535"/>
      <c r="V17" s="532" t="str">
        <f>IF(F11=0,"Nein","Ja")</f>
        <v>Nein</v>
      </c>
      <c r="W17" s="533" t="str">
        <f t="shared" si="0"/>
        <v>Nein</v>
      </c>
      <c r="X17" s="534">
        <f t="shared" si="1"/>
        <v>2</v>
      </c>
      <c r="Y17" s="15"/>
    </row>
    <row r="18" spans="1:25" ht="20.25" customHeight="1" x14ac:dyDescent="0.2">
      <c r="A18" s="812" t="s">
        <v>49</v>
      </c>
      <c r="B18" s="813"/>
      <c r="C18" s="813"/>
      <c r="D18" s="813"/>
      <c r="E18" s="43"/>
      <c r="F18" s="44"/>
      <c r="G18" s="39"/>
      <c r="H18" s="39"/>
      <c r="I18" s="39"/>
      <c r="J18" s="39"/>
      <c r="K18" s="41"/>
      <c r="L18" s="444">
        <f>'Abwasser, Hofdüngerlager'!N45</f>
        <v>0</v>
      </c>
      <c r="M18" s="42" t="s">
        <v>121</v>
      </c>
      <c r="N18" s="448"/>
      <c r="O18" s="501"/>
      <c r="R18" s="17"/>
      <c r="T18" s="532" t="str">
        <f>G8</f>
        <v>Name, Vorname:</v>
      </c>
      <c r="U18" s="532"/>
      <c r="V18" s="532" t="str">
        <f>IF(I8=0,"Nein","Ja")</f>
        <v>Nein</v>
      </c>
      <c r="W18" s="533" t="str">
        <f t="shared" si="0"/>
        <v>Nein</v>
      </c>
      <c r="X18" s="534">
        <f t="shared" si="1"/>
        <v>2</v>
      </c>
      <c r="Y18" s="15"/>
    </row>
    <row r="19" spans="1:25" ht="20.25" customHeight="1" x14ac:dyDescent="0.2">
      <c r="A19" s="38" t="s">
        <v>177</v>
      </c>
      <c r="B19" s="41"/>
      <c r="C19" s="45"/>
      <c r="D19" s="39"/>
      <c r="E19" s="43"/>
      <c r="F19" s="39"/>
      <c r="G19" s="39"/>
      <c r="H19" s="39"/>
      <c r="I19" s="39"/>
      <c r="J19" s="39"/>
      <c r="K19" s="41"/>
      <c r="L19" s="444">
        <f>'Abwasser landwirt. Nebenerwerb'!O37</f>
        <v>0</v>
      </c>
      <c r="M19" s="42" t="s">
        <v>121</v>
      </c>
      <c r="N19" s="448"/>
      <c r="O19" s="501"/>
      <c r="T19" s="532" t="str">
        <f>G9</f>
        <v>Strasse:</v>
      </c>
      <c r="U19" s="532"/>
      <c r="V19" s="532" t="str">
        <f>IF(I9=0,"Nein","Ja")</f>
        <v>Nein</v>
      </c>
      <c r="W19" s="533" t="str">
        <f t="shared" si="0"/>
        <v>Nein</v>
      </c>
      <c r="X19" s="534">
        <f t="shared" si="1"/>
        <v>2</v>
      </c>
    </row>
    <row r="20" spans="1:25" ht="20.25" customHeight="1" x14ac:dyDescent="0.25">
      <c r="A20" s="854" t="s">
        <v>88</v>
      </c>
      <c r="B20" s="855"/>
      <c r="C20" s="855"/>
      <c r="D20" s="39"/>
      <c r="E20" s="43"/>
      <c r="F20" s="39"/>
      <c r="G20" s="39"/>
      <c r="H20" s="39"/>
      <c r="I20" s="39"/>
      <c r="J20" s="39"/>
      <c r="K20" s="41"/>
      <c r="L20" s="445">
        <f>SUM(L14:L19)</f>
        <v>0</v>
      </c>
      <c r="M20" s="42" t="s">
        <v>121</v>
      </c>
      <c r="N20" s="449"/>
      <c r="O20" s="502"/>
      <c r="T20" s="532" t="str">
        <f>G10</f>
        <v>PLZ, Ort:</v>
      </c>
      <c r="U20" s="532"/>
      <c r="V20" s="532" t="str">
        <f>IF(I10=0,"Nein","Ja")</f>
        <v>Nein</v>
      </c>
      <c r="W20" s="533" t="str">
        <f t="shared" si="0"/>
        <v>Nein</v>
      </c>
      <c r="X20" s="534">
        <f t="shared" si="1"/>
        <v>2</v>
      </c>
    </row>
    <row r="21" spans="1:25" ht="21" customHeight="1" thickBot="1" x14ac:dyDescent="0.3">
      <c r="A21" s="868" t="s">
        <v>87</v>
      </c>
      <c r="B21" s="869"/>
      <c r="C21" s="869"/>
      <c r="D21" s="49"/>
      <c r="E21" s="49"/>
      <c r="F21" s="49"/>
      <c r="G21" s="49"/>
      <c r="H21" s="49"/>
      <c r="I21" s="49"/>
      <c r="J21" s="49"/>
      <c r="K21" s="50"/>
      <c r="L21" s="459"/>
      <c r="M21" s="460"/>
      <c r="N21" s="446">
        <f>'Rindvieh, Schweine, Geflügel'!R28+'Rindvieh, Schweine, Geflügel'!R38+'Rindvieh, Schweine, Geflügel'!R46+'Diverse Tiere'!R14+'Diverse Tiere'!R20+'Diverse Tiere'!R26+'Diverse Tiere'!R31+'Diverse Tiere'!R42</f>
        <v>0</v>
      </c>
      <c r="O21" s="450" t="s">
        <v>315</v>
      </c>
      <c r="T21" s="532" t="str">
        <f>G11</f>
        <v>Telefon:</v>
      </c>
      <c r="U21" s="532"/>
      <c r="V21" s="532" t="str">
        <f>IF(I11=0,"Nein","Ja")</f>
        <v>Nein</v>
      </c>
      <c r="W21" s="533" t="str">
        <f t="shared" si="0"/>
        <v>Nein</v>
      </c>
      <c r="X21" s="534">
        <f t="shared" si="1"/>
        <v>2</v>
      </c>
    </row>
    <row r="22" spans="1:25" s="25" customFormat="1" ht="9.75" customHeight="1" x14ac:dyDescent="0.25">
      <c r="H22" s="52"/>
      <c r="I22" s="53"/>
      <c r="J22" s="54"/>
      <c r="L22" s="55"/>
      <c r="M22" s="56"/>
      <c r="N22" s="56"/>
      <c r="O22" s="57"/>
      <c r="P22" s="58"/>
      <c r="Q22" s="58"/>
      <c r="R22" s="59"/>
      <c r="S22" s="59"/>
      <c r="T22" s="536" t="str">
        <f>H7</f>
        <v>Hofdüngerabgabe:</v>
      </c>
      <c r="U22" s="536"/>
      <c r="V22" s="536" t="str">
        <f>IF(K7=0,"Nein","Ja")</f>
        <v>Nein</v>
      </c>
      <c r="W22" s="533" t="str">
        <f t="shared" si="0"/>
        <v>Nein</v>
      </c>
      <c r="X22" s="534">
        <f t="shared" si="1"/>
        <v>2</v>
      </c>
    </row>
    <row r="23" spans="1:25" ht="30.75" customHeight="1" thickBot="1" x14ac:dyDescent="0.5">
      <c r="A23" s="31" t="s">
        <v>89</v>
      </c>
      <c r="B23" s="10"/>
      <c r="C23" s="31"/>
      <c r="D23" s="10"/>
      <c r="E23" s="10"/>
      <c r="F23" s="10"/>
      <c r="G23" s="10"/>
      <c r="H23" s="10"/>
      <c r="I23" s="10"/>
      <c r="J23" s="32"/>
      <c r="K23" s="32"/>
      <c r="L23" s="60"/>
      <c r="M23" s="61"/>
      <c r="N23" s="62"/>
      <c r="O23" s="63"/>
      <c r="T23" s="532"/>
      <c r="U23" s="532"/>
      <c r="V23" s="860" t="s">
        <v>288</v>
      </c>
      <c r="W23" s="861"/>
      <c r="X23" s="534">
        <f>SUM(X11:X22)</f>
        <v>22</v>
      </c>
    </row>
    <row r="24" spans="1:25" s="69" customFormat="1" ht="49.5" customHeight="1" x14ac:dyDescent="0.25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866" t="s">
        <v>113</v>
      </c>
      <c r="M24" s="867"/>
      <c r="N24" s="864" t="s">
        <v>316</v>
      </c>
      <c r="O24" s="865"/>
      <c r="P24" s="66"/>
      <c r="Q24" s="66"/>
      <c r="R24" s="67"/>
      <c r="S24" s="67"/>
      <c r="T24" s="67"/>
      <c r="U24" s="67"/>
      <c r="V24" s="67"/>
      <c r="W24" s="68"/>
    </row>
    <row r="25" spans="1:25" s="80" customFormat="1" ht="23.25" customHeight="1" x14ac:dyDescent="0.3">
      <c r="A25" s="38" t="s">
        <v>92</v>
      </c>
      <c r="B25" s="39"/>
      <c r="C25" s="70"/>
      <c r="D25" s="39"/>
      <c r="E25" s="71" t="str">
        <f>IF(D6=" ","Bitte Produktionszone (Feld F5) ausfüllen!",IF(D6&lt;0,"Eingabe Mindest - Lagerdauer ist falsch !!",IF(D6&gt;6,"Eingabe Mindest - Lagerdauer ist falsch !!","")))</f>
        <v/>
      </c>
      <c r="F25" s="72"/>
      <c r="G25" s="73"/>
      <c r="H25" s="73"/>
      <c r="I25" s="39"/>
      <c r="J25" s="39"/>
      <c r="K25" s="39"/>
      <c r="L25" s="46">
        <f>D6</f>
        <v>0</v>
      </c>
      <c r="M25" s="74" t="s">
        <v>3</v>
      </c>
      <c r="N25" s="75">
        <v>6</v>
      </c>
      <c r="O25" s="76" t="s">
        <v>3</v>
      </c>
      <c r="P25" s="77"/>
      <c r="Q25" s="77"/>
      <c r="R25" s="78"/>
      <c r="S25" s="78"/>
      <c r="T25" s="78"/>
      <c r="U25" s="78"/>
      <c r="V25" s="78"/>
      <c r="W25" s="79"/>
    </row>
    <row r="26" spans="1:25" s="80" customFormat="1" ht="23.25" customHeight="1" x14ac:dyDescent="0.3">
      <c r="A26" s="812" t="s">
        <v>278</v>
      </c>
      <c r="B26" s="814"/>
      <c r="C26" s="814"/>
      <c r="D26" s="814"/>
      <c r="E26" s="814"/>
      <c r="F26" s="814"/>
      <c r="G26" s="814"/>
      <c r="H26" s="814"/>
      <c r="I26" s="814"/>
      <c r="J26" s="814"/>
      <c r="K26" s="39"/>
      <c r="L26" s="445">
        <f>MROUND(L20/12*D6,1)</f>
        <v>0</v>
      </c>
      <c r="M26" s="81" t="s">
        <v>169</v>
      </c>
      <c r="N26" s="455">
        <f>MROUND(N21/12*6,1)</f>
        <v>0</v>
      </c>
      <c r="O26" s="82" t="s">
        <v>122</v>
      </c>
      <c r="P26" s="77"/>
      <c r="Q26" s="539"/>
      <c r="R26" s="78"/>
      <c r="S26" s="83"/>
      <c r="T26" s="83"/>
      <c r="U26" s="83"/>
      <c r="V26" s="59"/>
      <c r="W26" s="79"/>
    </row>
    <row r="27" spans="1:25" s="80" customFormat="1" ht="23.25" customHeight="1" x14ac:dyDescent="0.3">
      <c r="A27" s="38" t="s">
        <v>164</v>
      </c>
      <c r="B27" s="39"/>
      <c r="C27" s="39"/>
      <c r="D27" s="39"/>
      <c r="E27" s="43"/>
      <c r="F27" s="44"/>
      <c r="G27" s="39"/>
      <c r="H27" s="39"/>
      <c r="I27" s="39"/>
      <c r="J27" s="39"/>
      <c r="K27" s="39"/>
      <c r="L27" s="445">
        <f>'Abwasser, Hofdüngerlager'!E56</f>
        <v>0</v>
      </c>
      <c r="M27" s="84" t="s">
        <v>122</v>
      </c>
      <c r="N27" s="455">
        <f>'Abwasser, Hofdüngerlager'!N56</f>
        <v>0</v>
      </c>
      <c r="O27" s="85" t="s">
        <v>122</v>
      </c>
      <c r="P27" s="77"/>
      <c r="Q27" s="539"/>
      <c r="R27" s="78"/>
      <c r="S27" s="78"/>
      <c r="T27" s="78"/>
      <c r="U27" s="78"/>
      <c r="V27" s="78"/>
      <c r="W27" s="79"/>
    </row>
    <row r="28" spans="1:25" s="80" customFormat="1" ht="23.25" customHeight="1" x14ac:dyDescent="0.3">
      <c r="A28" s="38" t="s">
        <v>165</v>
      </c>
      <c r="B28" s="39"/>
      <c r="C28" s="39"/>
      <c r="D28" s="39"/>
      <c r="E28" s="43"/>
      <c r="F28" s="39"/>
      <c r="G28" s="39"/>
      <c r="H28" s="39"/>
      <c r="I28" s="39"/>
      <c r="J28" s="39"/>
      <c r="K28" s="39"/>
      <c r="L28" s="454">
        <f>IF(L26&gt;0,L27/L20*12,0)</f>
        <v>0</v>
      </c>
      <c r="M28" s="86" t="s">
        <v>3</v>
      </c>
      <c r="N28" s="457">
        <f>IF(N26&gt;0,N27/(N21)*12,0)</f>
        <v>0</v>
      </c>
      <c r="O28" s="76" t="s">
        <v>3</v>
      </c>
      <c r="P28" s="77"/>
      <c r="Q28" s="77"/>
      <c r="R28" s="78"/>
      <c r="S28" s="78"/>
      <c r="T28" s="78"/>
      <c r="U28" s="78"/>
      <c r="V28" s="78"/>
      <c r="W28" s="79"/>
    </row>
    <row r="29" spans="1:25" s="80" customFormat="1" ht="23.25" customHeight="1" thickBot="1" x14ac:dyDescent="0.35">
      <c r="A29" s="48" t="s">
        <v>91</v>
      </c>
      <c r="B29" s="49"/>
      <c r="C29" s="49"/>
      <c r="D29" s="49"/>
      <c r="E29" s="87"/>
      <c r="F29" s="49"/>
      <c r="G29" s="49"/>
      <c r="H29" s="49"/>
      <c r="I29" s="49"/>
      <c r="J29" s="49"/>
      <c r="K29" s="49"/>
      <c r="L29" s="451">
        <f>IF(L26&gt;0,100/L26*L27,0)</f>
        <v>0</v>
      </c>
      <c r="M29" s="88" t="s">
        <v>19</v>
      </c>
      <c r="N29" s="456">
        <f>IF(N26&gt;0,100/N26*N27,0)</f>
        <v>0</v>
      </c>
      <c r="O29" s="51" t="s">
        <v>19</v>
      </c>
      <c r="P29" s="77"/>
      <c r="Q29" s="539"/>
      <c r="R29" s="78"/>
      <c r="S29" s="78"/>
      <c r="T29" s="78"/>
      <c r="U29" s="78"/>
      <c r="V29" s="78"/>
      <c r="W29" s="79"/>
    </row>
    <row r="30" spans="1:25" s="80" customFormat="1" ht="20.25" customHeight="1" x14ac:dyDescent="0.3">
      <c r="A30" s="89" t="s">
        <v>17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452">
        <f>IF(OR(L29&gt;100,L29=0),L27-L26,"")</f>
        <v>0</v>
      </c>
      <c r="M30" s="91" t="s">
        <v>122</v>
      </c>
      <c r="N30" s="452">
        <f>IF(OR(N29&gt;100,N29=0),N27-N26,"")</f>
        <v>0</v>
      </c>
      <c r="O30" s="92" t="s">
        <v>122</v>
      </c>
      <c r="P30" s="77"/>
      <c r="Q30" s="539"/>
      <c r="R30" s="78"/>
      <c r="S30" s="78"/>
      <c r="T30" s="78"/>
      <c r="U30" s="78"/>
      <c r="V30" s="78"/>
      <c r="W30" s="79"/>
    </row>
    <row r="31" spans="1:25" s="80" customFormat="1" ht="20.25" customHeight="1" thickBot="1" x14ac:dyDescent="0.35">
      <c r="A31" s="93" t="s">
        <v>18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453" t="str">
        <f>IF(AND(L29&lt;100,L29&gt;0.1),L26-L27,"")</f>
        <v/>
      </c>
      <c r="M31" s="95" t="s">
        <v>122</v>
      </c>
      <c r="N31" s="453" t="str">
        <f>IF(AND(N29&lt;100,N29&gt;0.1),N26-N27,"")</f>
        <v/>
      </c>
      <c r="O31" s="96" t="s">
        <v>122</v>
      </c>
      <c r="P31" s="77"/>
      <c r="Q31" s="77"/>
      <c r="R31" s="78"/>
      <c r="S31" s="78"/>
      <c r="T31" s="78"/>
      <c r="U31" s="78"/>
      <c r="V31" s="78"/>
      <c r="W31" s="79"/>
    </row>
    <row r="32" spans="1:25" ht="5.25" customHeight="1" x14ac:dyDescent="0.2">
      <c r="A32" s="15"/>
      <c r="L32" s="12"/>
      <c r="M32" s="12"/>
      <c r="N32" s="12"/>
      <c r="O32" s="12"/>
    </row>
    <row r="33" spans="1:23" s="15" customFormat="1" ht="30.75" customHeight="1" thickBot="1" x14ac:dyDescent="0.45">
      <c r="A33" s="31" t="s">
        <v>281</v>
      </c>
      <c r="B33" s="24"/>
      <c r="C33" s="25"/>
      <c r="D33" s="25"/>
      <c r="E33" s="25"/>
      <c r="F33" s="25"/>
      <c r="G33" s="25"/>
      <c r="H33" s="24"/>
      <c r="I33" s="22"/>
      <c r="J33" s="98"/>
      <c r="K33" s="98"/>
      <c r="L33" s="22"/>
      <c r="M33" s="22"/>
      <c r="N33" s="22"/>
      <c r="O33" s="22"/>
      <c r="P33" s="16"/>
      <c r="Q33" s="16"/>
      <c r="R33" s="17"/>
      <c r="S33" s="17"/>
      <c r="T33" s="17"/>
      <c r="U33" s="17"/>
      <c r="V33" s="17"/>
      <c r="W33" s="18"/>
    </row>
    <row r="34" spans="1:23" x14ac:dyDescent="0.2">
      <c r="A34" s="99"/>
      <c r="B34" s="100"/>
      <c r="C34" s="100"/>
      <c r="D34" s="100"/>
      <c r="E34" s="100"/>
      <c r="F34" s="100"/>
      <c r="G34" s="101"/>
      <c r="H34" s="100"/>
      <c r="I34" s="100"/>
      <c r="J34" s="100"/>
      <c r="K34" s="101"/>
      <c r="L34" s="100"/>
      <c r="M34" s="101"/>
      <c r="N34" s="101"/>
      <c r="O34" s="102"/>
      <c r="S34" s="103" t="str">
        <f>IF(I38&lt;8,"0","1")</f>
        <v>0</v>
      </c>
      <c r="T34" s="104"/>
    </row>
    <row r="35" spans="1:23" ht="15" x14ac:dyDescent="0.25">
      <c r="A35" s="89" t="s">
        <v>239</v>
      </c>
      <c r="B35" s="105"/>
      <c r="C35" s="105"/>
      <c r="D35" s="105"/>
      <c r="E35" s="105"/>
      <c r="F35" s="461" t="str">
        <f>IF(S36=2,"möglich","nicht möglich")</f>
        <v>nicht möglich</v>
      </c>
      <c r="G35" s="2" t="str">
        <f>IF(F35="nicht möglich","da weniger 8 DGVE Rinder + Schweine oder weniger 25% Anteil Vollgülle.","")</f>
        <v>da weniger 8 DGVE Rinder + Schweine oder weniger 25% Anteil Vollgülle.</v>
      </c>
      <c r="H35" s="4"/>
      <c r="I35" s="4"/>
      <c r="J35" s="4"/>
      <c r="K35" s="2"/>
      <c r="L35" s="4"/>
      <c r="M35" s="2"/>
      <c r="N35" s="2"/>
      <c r="O35" s="106"/>
      <c r="S35" s="103" t="str">
        <f>IF(I39&lt;25%,"0","1")</f>
        <v>0</v>
      </c>
    </row>
    <row r="36" spans="1:23" ht="8.4499999999999993" customHeight="1" x14ac:dyDescent="0.2">
      <c r="A36" s="702"/>
      <c r="B36" s="703"/>
      <c r="C36" s="703"/>
      <c r="D36" s="703"/>
      <c r="E36" s="703"/>
      <c r="F36" s="704"/>
      <c r="G36" s="705"/>
      <c r="H36" s="703"/>
      <c r="I36" s="703"/>
      <c r="J36" s="703"/>
      <c r="K36" s="705"/>
      <c r="L36" s="703"/>
      <c r="M36" s="705"/>
      <c r="N36" s="705"/>
      <c r="O36" s="706"/>
      <c r="S36" s="103">
        <f>+S35+S34</f>
        <v>0</v>
      </c>
    </row>
    <row r="37" spans="1:23" ht="15" x14ac:dyDescent="0.25">
      <c r="A37" s="89" t="s">
        <v>120</v>
      </c>
      <c r="B37" s="2"/>
      <c r="C37" s="2"/>
      <c r="D37" s="2"/>
      <c r="E37" s="2"/>
      <c r="F37" s="461" t="str">
        <f>IF(I40&lt;25%,"nicht möglich","möglich")</f>
        <v>nicht möglich</v>
      </c>
      <c r="G37" s="2" t="str">
        <f>IF(F37="nicht möglich","da die Verdünnung weniger als 25% beträgt."," ")</f>
        <v>da die Verdünnung weniger als 25% beträgt.</v>
      </c>
      <c r="H37" s="2"/>
      <c r="I37" s="2"/>
      <c r="J37" s="2"/>
      <c r="K37" s="2"/>
      <c r="L37" s="109"/>
      <c r="M37" s="2"/>
      <c r="N37" s="2"/>
      <c r="O37" s="106"/>
      <c r="S37" s="103"/>
      <c r="T37" s="104"/>
    </row>
    <row r="38" spans="1:23" ht="21.6" customHeight="1" x14ac:dyDescent="0.25">
      <c r="A38" s="691" t="s">
        <v>328</v>
      </c>
      <c r="B38" s="692"/>
      <c r="C38" s="692"/>
      <c r="D38" s="692"/>
      <c r="E38" s="694"/>
      <c r="F38" s="694"/>
      <c r="G38" s="694"/>
      <c r="H38" s="694"/>
      <c r="I38" s="697">
        <f>'Rindvieh, Schweine, Geflügel'!O28+'Rindvieh, Schweine, Geflügel'!W38</f>
        <v>0</v>
      </c>
      <c r="J38" s="692" t="s">
        <v>326</v>
      </c>
      <c r="K38" s="692"/>
      <c r="L38" s="692"/>
      <c r="M38" s="698"/>
      <c r="N38" s="694"/>
      <c r="O38" s="699"/>
    </row>
    <row r="39" spans="1:23" ht="20.45" customHeight="1" x14ac:dyDescent="0.25">
      <c r="A39" s="691" t="s">
        <v>336</v>
      </c>
      <c r="B39" s="692"/>
      <c r="C39" s="692"/>
      <c r="D39" s="692"/>
      <c r="E39" s="697"/>
      <c r="F39" s="692"/>
      <c r="G39" s="694"/>
      <c r="H39" s="694"/>
      <c r="I39" s="872">
        <f>L14/(L14+L17+L18+L19+0.00001)</f>
        <v>0</v>
      </c>
      <c r="J39" s="873"/>
      <c r="K39" s="692"/>
      <c r="L39" s="692"/>
      <c r="M39" s="698"/>
      <c r="N39" s="700"/>
      <c r="O39" s="701"/>
    </row>
    <row r="40" spans="1:23" ht="21" customHeight="1" thickBot="1" x14ac:dyDescent="0.3">
      <c r="A40" s="93" t="s">
        <v>338</v>
      </c>
      <c r="B40" s="110"/>
      <c r="C40" s="110"/>
      <c r="D40" s="110"/>
      <c r="E40" s="458"/>
      <c r="F40" s="110"/>
      <c r="G40" s="708"/>
      <c r="H40" s="708"/>
      <c r="I40" s="876">
        <f>(L14+L15+L16)/(L14+L15+L16+L17+L18+L19+0.00001)</f>
        <v>0</v>
      </c>
      <c r="J40" s="877"/>
      <c r="K40" s="110"/>
      <c r="L40" s="110"/>
      <c r="M40" s="111"/>
      <c r="N40" s="30"/>
      <c r="O40" s="695"/>
    </row>
    <row r="41" spans="1:23" ht="18.75" customHeight="1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107"/>
      <c r="N41" s="24"/>
    </row>
    <row r="42" spans="1:23" ht="39.950000000000003" customHeight="1" x14ac:dyDescent="0.2">
      <c r="A42" s="25" t="s">
        <v>20</v>
      </c>
      <c r="B42" s="870"/>
      <c r="C42" s="870"/>
      <c r="D42" s="870"/>
      <c r="E42" s="870"/>
      <c r="F42" s="25"/>
      <c r="G42" s="874" t="s">
        <v>251</v>
      </c>
      <c r="H42" s="875"/>
      <c r="I42" s="875"/>
      <c r="J42" s="875"/>
      <c r="K42" s="870"/>
      <c r="L42" s="871"/>
      <c r="M42" s="871"/>
      <c r="N42" s="871"/>
      <c r="O42" s="871"/>
    </row>
    <row r="43" spans="1:23" ht="15.75" customHeight="1" x14ac:dyDescent="0.2">
      <c r="A43" s="25"/>
      <c r="B43" s="113"/>
      <c r="C43" s="113"/>
      <c r="D43" s="113"/>
      <c r="E43" s="113"/>
      <c r="F43" s="25"/>
      <c r="G43" s="25"/>
      <c r="H43" s="25"/>
      <c r="I43" s="25"/>
      <c r="J43" s="25"/>
      <c r="K43" s="25"/>
      <c r="L43" s="55"/>
      <c r="M43" s="114"/>
      <c r="N43" s="114"/>
      <c r="O43" s="114"/>
    </row>
    <row r="44" spans="1:23" ht="21.75" customHeight="1" x14ac:dyDescent="0.2">
      <c r="A44" s="25" t="s">
        <v>283</v>
      </c>
      <c r="B44" s="862"/>
      <c r="C44" s="863"/>
      <c r="D44" s="863"/>
      <c r="E44" s="863"/>
      <c r="F44" s="863"/>
      <c r="G44" s="863"/>
      <c r="H44" s="863"/>
      <c r="I44" s="863"/>
      <c r="J44" s="863"/>
      <c r="K44" s="863"/>
      <c r="L44" s="863"/>
      <c r="M44" s="863"/>
      <c r="N44" s="863"/>
      <c r="O44" s="863"/>
    </row>
    <row r="45" spans="1:23" ht="21.75" customHeight="1" x14ac:dyDescent="0.2">
      <c r="A45" s="25"/>
      <c r="B45" s="862"/>
      <c r="C45" s="863"/>
      <c r="D45" s="863"/>
      <c r="E45" s="863"/>
      <c r="F45" s="863"/>
      <c r="G45" s="863"/>
      <c r="H45" s="863"/>
      <c r="I45" s="863"/>
      <c r="J45" s="863"/>
      <c r="K45" s="863"/>
      <c r="L45" s="863"/>
      <c r="M45" s="863"/>
      <c r="N45" s="863"/>
      <c r="O45" s="863"/>
    </row>
    <row r="46" spans="1:23" ht="24" customHeight="1" x14ac:dyDescent="0.2">
      <c r="A46" s="115"/>
      <c r="B46" s="862"/>
      <c r="C46" s="863"/>
      <c r="D46" s="863"/>
      <c r="E46" s="863"/>
      <c r="F46" s="863"/>
      <c r="G46" s="863"/>
      <c r="H46" s="863"/>
      <c r="I46" s="863"/>
      <c r="J46" s="863"/>
      <c r="K46" s="863"/>
      <c r="L46" s="863"/>
      <c r="M46" s="863"/>
      <c r="N46" s="863"/>
      <c r="O46" s="863"/>
    </row>
    <row r="47" spans="1:23" ht="18" customHeight="1" x14ac:dyDescent="0.2"/>
  </sheetData>
  <sheetProtection password="C917" sheet="1" selectLockedCells="1"/>
  <mergeCells count="48">
    <mergeCell ref="A21:C21"/>
    <mergeCell ref="B46:O46"/>
    <mergeCell ref="K42:O42"/>
    <mergeCell ref="I39:J39"/>
    <mergeCell ref="B42:E42"/>
    <mergeCell ref="G42:J42"/>
    <mergeCell ref="A26:J26"/>
    <mergeCell ref="I40:J40"/>
    <mergeCell ref="V23:W23"/>
    <mergeCell ref="B44:O44"/>
    <mergeCell ref="N24:O24"/>
    <mergeCell ref="B45:O45"/>
    <mergeCell ref="L24:M24"/>
    <mergeCell ref="A20:C20"/>
    <mergeCell ref="A18:D18"/>
    <mergeCell ref="G10:H10"/>
    <mergeCell ref="B9:F9"/>
    <mergeCell ref="D11:E11"/>
    <mergeCell ref="A17:D17"/>
    <mergeCell ref="G11:H11"/>
    <mergeCell ref="B11:C11"/>
    <mergeCell ref="H6:L6"/>
    <mergeCell ref="J1:O1"/>
    <mergeCell ref="A6:C6"/>
    <mergeCell ref="B10:F10"/>
    <mergeCell ref="I11:O11"/>
    <mergeCell ref="D5:E5"/>
    <mergeCell ref="B5:C5"/>
    <mergeCell ref="N2:O2"/>
    <mergeCell ref="I9:O9"/>
    <mergeCell ref="A4:F4"/>
    <mergeCell ref="K7:O7"/>
    <mergeCell ref="N13:O13"/>
    <mergeCell ref="B8:F8"/>
    <mergeCell ref="D3:L3"/>
    <mergeCell ref="G5:G7"/>
    <mergeCell ref="A14:F14"/>
    <mergeCell ref="L13:M13"/>
    <mergeCell ref="G8:H8"/>
    <mergeCell ref="G9:H9"/>
    <mergeCell ref="B7:F7"/>
    <mergeCell ref="H5:L5"/>
    <mergeCell ref="M5:O5"/>
    <mergeCell ref="H7:J7"/>
    <mergeCell ref="I8:O8"/>
    <mergeCell ref="I10:O10"/>
    <mergeCell ref="A7:A8"/>
    <mergeCell ref="M6:O6"/>
  </mergeCells>
  <phoneticPr fontId="0" type="noConversion"/>
  <conditionalFormatting sqref="B5:C5">
    <cfRule type="expression" dxfId="12" priority="12">
      <formula>IF($X$11=1,1,0)</formula>
    </cfRule>
  </conditionalFormatting>
  <conditionalFormatting sqref="F5">
    <cfRule type="expression" dxfId="11" priority="11">
      <formula>IF($X$12=1,1,0)</formula>
    </cfRule>
  </conditionalFormatting>
  <conditionalFormatting sqref="B9:F9">
    <cfRule type="expression" dxfId="10" priority="10">
      <formula>IF($X$14=1,1,0)</formula>
    </cfRule>
  </conditionalFormatting>
  <conditionalFormatting sqref="F11">
    <cfRule type="expression" dxfId="9" priority="8">
      <formula>IF($X$17=1,1,0)</formula>
    </cfRule>
  </conditionalFormatting>
  <conditionalFormatting sqref="I8:O8">
    <cfRule type="expression" dxfId="8" priority="7">
      <formula>IF($X$18=1,1,0)</formula>
    </cfRule>
  </conditionalFormatting>
  <conditionalFormatting sqref="I9:O9">
    <cfRule type="expression" dxfId="7" priority="6">
      <formula>IF($X$19=1,1,0)</formula>
    </cfRule>
  </conditionalFormatting>
  <conditionalFormatting sqref="I10:O10">
    <cfRule type="expression" dxfId="6" priority="5">
      <formula>IF($X$20=1,1,0)</formula>
    </cfRule>
  </conditionalFormatting>
  <conditionalFormatting sqref="I11:O11">
    <cfRule type="expression" dxfId="5" priority="4">
      <formula>IF($X$21=1,1,0)</formula>
    </cfRule>
  </conditionalFormatting>
  <conditionalFormatting sqref="M5:O5">
    <cfRule type="expression" dxfId="4" priority="3">
      <formula>IF($X$13=1,1,0)</formula>
    </cfRule>
  </conditionalFormatting>
  <conditionalFormatting sqref="M6:O6">
    <cfRule type="expression" dxfId="3" priority="2">
      <formula>IF($X$15=1,1,0)</formula>
    </cfRule>
  </conditionalFormatting>
  <conditionalFormatting sqref="K7:O7">
    <cfRule type="expression" dxfId="2" priority="1">
      <formula>IF($X$22=1,1,0)</formula>
    </cfRule>
  </conditionalFormatting>
  <dataValidations count="6">
    <dataValidation type="list" allowBlank="1" showInputMessage="1" showErrorMessage="1" errorTitle="Ungültige Eingabe." error="Bitte treffen Sie eine Auswahl." sqref="F5">
      <formula1>$T$5:$T$7</formula1>
    </dataValidation>
    <dataValidation type="date" operator="greaterThan" allowBlank="1" showInputMessage="1" showErrorMessage="1" errorTitle="Ungültiges Datum" error="Bitte geben Sie ein gültiges Datum ein." sqref="F11">
      <formula1>TODAY()-60</formula1>
    </dataValidation>
    <dataValidation allowBlank="1" showInputMessage="1" sqref="B5:C5"/>
    <dataValidation type="decimal" allowBlank="1" showErrorMessage="1" errorTitle="Ungültige Angabe" error="Bitte geben Sie eine gültige Nutzfläche an." sqref="M5:O5">
      <formula1>0</formula1>
      <formula2>999</formula2>
    </dataValidation>
    <dataValidation type="decimal" allowBlank="1" showErrorMessage="1" errorTitle="Ungültige Eingabe" error="Bitte geben Sie eine gültige Düngbare Fläche an." sqref="M6:O6">
      <formula1>0</formula1>
      <formula2>999</formula2>
    </dataValidation>
    <dataValidation type="list" allowBlank="1" showErrorMessage="1" errorTitle="Ungültige Eingabe" error="Bitte treffen Sie eine Auswahl." sqref="K7:O7">
      <mc:AlternateContent xmlns:x12ac="http://schemas.microsoft.com/office/spreadsheetml/2011/1/ac" xmlns:mc="http://schemas.openxmlformats.org/markup-compatibility/2006">
        <mc:Choice Requires="x12ac">
          <x12ac:list>"Ja, weniger als 50% der Nährstoffe","Ja, mehr als 50% der Nährstoffe",Nein</x12ac:list>
        </mc:Choice>
        <mc:Fallback>
          <formula1>"Ja, weniger als 50% der Nährstoffe,Ja, mehr als 50% der Nährstoffe,Nein"</formula1>
        </mc:Fallback>
      </mc:AlternateContent>
    </dataValidation>
  </dataValidations>
  <printOptions horizontalCentered="1"/>
  <pageMargins left="0.6692913385826772" right="0.31496062992125984" top="0.31496062992125984" bottom="0.51181102362204722" header="0.27559055118110237" footer="0.27559055118110237"/>
  <pageSetup paperSize="9"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indexed="10"/>
    <pageSetUpPr fitToPage="1"/>
  </sheetPr>
  <dimension ref="A1:AD47"/>
  <sheetViews>
    <sheetView showGridLines="0" showZeros="0" zoomScaleNormal="100" workbookViewId="0">
      <selection activeCell="F10" sqref="F10"/>
    </sheetView>
  </sheetViews>
  <sheetFormatPr baseColWidth="10" defaultColWidth="11.42578125" defaultRowHeight="12.75" x14ac:dyDescent="0.2"/>
  <cols>
    <col min="1" max="1" width="6" style="108" customWidth="1"/>
    <col min="2" max="2" width="15.7109375" style="8" customWidth="1"/>
    <col min="3" max="3" width="7.7109375" style="8" customWidth="1"/>
    <col min="4" max="4" width="8.5703125" style="8" customWidth="1"/>
    <col min="5" max="7" width="7.7109375" style="8" customWidth="1"/>
    <col min="8" max="12" width="7.7109375" style="108" customWidth="1"/>
    <col min="13" max="14" width="5.28515625" style="108" customWidth="1"/>
    <col min="15" max="15" width="10.28515625" style="108" customWidth="1"/>
    <col min="16" max="18" width="9.7109375" style="8" customWidth="1"/>
    <col min="19" max="19" width="14.140625" style="479" hidden="1" customWidth="1"/>
    <col min="20" max="22" width="11.42578125" style="364" hidden="1" customWidth="1"/>
    <col min="23" max="23" width="9.85546875" style="364" hidden="1" customWidth="1"/>
    <col min="24" max="26" width="11.42578125" style="580" hidden="1" customWidth="1"/>
    <col min="27" max="27" width="11.42578125" style="565" hidden="1" customWidth="1"/>
    <col min="28" max="28" width="8" style="8" hidden="1" customWidth="1"/>
    <col min="29" max="30" width="11.42578125" style="8" hidden="1" customWidth="1"/>
    <col min="31" max="31" width="11.42578125" style="8" customWidth="1"/>
    <col min="32" max="16384" width="11.42578125" style="8"/>
  </cols>
  <sheetData>
    <row r="1" spans="1:30" ht="75" customHeight="1" thickBot="1" x14ac:dyDescent="0.35">
      <c r="A1" s="362"/>
      <c r="B1" s="213"/>
      <c r="C1" s="30"/>
      <c r="D1" s="30"/>
      <c r="E1" s="30"/>
      <c r="F1" s="30"/>
      <c r="G1" s="30"/>
      <c r="H1" s="211"/>
      <c r="I1" s="211"/>
      <c r="J1" s="363"/>
      <c r="K1" s="47"/>
      <c r="L1" s="214"/>
      <c r="M1" s="897" t="str">
        <f>'Adresse + Ergebnis '!A3</f>
        <v xml:space="preserve">Grundlage: GRUD 2017 </v>
      </c>
      <c r="N1" s="897"/>
      <c r="O1" s="897"/>
      <c r="P1" s="898"/>
      <c r="Q1" s="898"/>
      <c r="R1" s="898"/>
    </row>
    <row r="2" spans="1:30" ht="45" customHeight="1" x14ac:dyDescent="0.45">
      <c r="A2" s="900" t="s">
        <v>0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899">
        <f>'Adresse + Ergebnis '!N2</f>
        <v>0</v>
      </c>
      <c r="N2" s="899"/>
      <c r="O2" s="899"/>
      <c r="P2" s="899"/>
      <c r="Q2" s="899"/>
      <c r="R2" s="219" t="s">
        <v>210</v>
      </c>
    </row>
    <row r="3" spans="1:30" s="15" customFormat="1" ht="39.75" customHeight="1" x14ac:dyDescent="0.25">
      <c r="A3" s="902" t="s">
        <v>1</v>
      </c>
      <c r="B3" s="903"/>
      <c r="C3" s="904">
        <f>'Adresse + Ergebnis '!B5</f>
        <v>0</v>
      </c>
      <c r="D3" s="904"/>
      <c r="F3" s="907" t="s">
        <v>114</v>
      </c>
      <c r="G3" s="907"/>
      <c r="H3" s="906" t="str">
        <f>CONCATENATE('Adresse + Ergebnis '!B7,IF('Adresse + Ergebnis '!B8&gt;0," / "," "),'Adresse + Ergebnis '!B8)</f>
        <v xml:space="preserve"> </v>
      </c>
      <c r="I3" s="906"/>
      <c r="J3" s="906"/>
      <c r="K3" s="906"/>
      <c r="L3" s="365"/>
      <c r="M3" s="366" t="s">
        <v>2</v>
      </c>
      <c r="N3" s="366"/>
      <c r="O3" s="366"/>
      <c r="Q3" s="905">
        <f>'Adresse + Ergebnis '!B9</f>
        <v>0</v>
      </c>
      <c r="R3" s="906"/>
      <c r="S3" s="480"/>
      <c r="T3" s="367"/>
      <c r="U3" s="367"/>
      <c r="V3" s="367"/>
      <c r="W3" s="367"/>
      <c r="X3" s="581"/>
      <c r="Y3" s="581"/>
      <c r="Z3" s="581"/>
      <c r="AA3" s="566"/>
    </row>
    <row r="4" spans="1:30" s="23" customFormat="1" ht="21.75" customHeight="1" x14ac:dyDescent="0.25">
      <c r="A4" s="368"/>
      <c r="B4" s="15"/>
      <c r="D4" s="22"/>
      <c r="F4" s="15"/>
      <c r="G4" s="8"/>
      <c r="H4" s="368"/>
      <c r="I4" s="222"/>
      <c r="J4" s="369"/>
      <c r="K4" s="116"/>
      <c r="L4" s="368"/>
      <c r="M4" s="25" t="s">
        <v>34</v>
      </c>
      <c r="N4" s="25"/>
      <c r="O4" s="25"/>
      <c r="Q4" s="878">
        <f>'Adresse + Ergebnis '!B11</f>
        <v>0</v>
      </c>
      <c r="R4" s="878"/>
      <c r="S4" s="481"/>
      <c r="T4" s="370"/>
      <c r="U4" s="370"/>
      <c r="V4" s="370"/>
      <c r="W4" s="370"/>
      <c r="X4" s="582"/>
      <c r="Y4" s="582"/>
      <c r="Z4" s="582"/>
      <c r="AA4" s="567"/>
    </row>
    <row r="5" spans="1:30" s="15" customFormat="1" ht="21.75" customHeight="1" x14ac:dyDescent="0.25">
      <c r="A5" s="892" t="s">
        <v>35</v>
      </c>
      <c r="B5" s="893"/>
      <c r="C5" s="893"/>
      <c r="D5" s="893"/>
      <c r="E5" s="893"/>
      <c r="F5" s="893"/>
      <c r="G5" s="893"/>
      <c r="H5" s="893"/>
      <c r="I5" s="893"/>
      <c r="J5" s="893"/>
      <c r="K5" s="893"/>
      <c r="L5" s="893"/>
      <c r="M5" s="226" t="s">
        <v>4</v>
      </c>
      <c r="N5" s="226"/>
      <c r="O5" s="226"/>
      <c r="P5" s="12"/>
      <c r="Q5" s="888" t="str">
        <f>IF('Adresse + Ergebnis '!F11&lt;&gt;"",'Adresse + Ergebnis '!F11,"")</f>
        <v/>
      </c>
      <c r="R5" s="888"/>
      <c r="S5" s="480"/>
      <c r="T5" s="367"/>
      <c r="U5" s="367"/>
      <c r="V5" s="367"/>
      <c r="W5" s="367"/>
      <c r="X5" s="581"/>
      <c r="Y5" s="581"/>
      <c r="Z5" s="581"/>
      <c r="AA5" s="566"/>
    </row>
    <row r="6" spans="1:30" s="15" customFormat="1" ht="24" customHeight="1" thickBot="1" x14ac:dyDescent="0.3">
      <c r="A6" s="893"/>
      <c r="B6" s="893"/>
      <c r="C6" s="893"/>
      <c r="D6" s="893"/>
      <c r="E6" s="893"/>
      <c r="F6" s="893"/>
      <c r="G6" s="893"/>
      <c r="H6" s="893"/>
      <c r="I6" s="893"/>
      <c r="J6" s="893"/>
      <c r="K6" s="893"/>
      <c r="L6" s="893"/>
      <c r="M6" s="371"/>
      <c r="N6" s="371"/>
      <c r="O6" s="371"/>
      <c r="P6" s="108"/>
      <c r="Q6" s="23"/>
      <c r="R6" s="23"/>
      <c r="S6" s="480"/>
      <c r="T6" s="367"/>
      <c r="U6" s="367"/>
      <c r="V6" s="367"/>
      <c r="W6" s="367"/>
      <c r="X6" s="581"/>
      <c r="Y6" s="581"/>
      <c r="Z6" s="581"/>
      <c r="AA6" s="566"/>
    </row>
    <row r="7" spans="1:30" ht="13.5" customHeight="1" x14ac:dyDescent="0.25">
      <c r="A7" s="915" t="s">
        <v>5</v>
      </c>
      <c r="B7" s="916"/>
      <c r="C7" s="484"/>
      <c r="D7" s="484"/>
      <c r="E7" s="484"/>
      <c r="F7" s="485"/>
      <c r="G7" s="923" t="s">
        <v>53</v>
      </c>
      <c r="H7" s="912" t="s">
        <v>180</v>
      </c>
      <c r="I7" s="879" t="s">
        <v>223</v>
      </c>
      <c r="J7" s="879" t="s">
        <v>178</v>
      </c>
      <c r="K7" s="879" t="s">
        <v>179</v>
      </c>
      <c r="L7" s="882" t="s">
        <v>181</v>
      </c>
      <c r="M7" s="885" t="s">
        <v>93</v>
      </c>
      <c r="N7" s="601"/>
      <c r="O7" s="894" t="s">
        <v>319</v>
      </c>
      <c r="P7" s="964" t="s">
        <v>96</v>
      </c>
      <c r="Q7" s="889" t="s">
        <v>124</v>
      </c>
      <c r="R7" s="889" t="s">
        <v>311</v>
      </c>
      <c r="S7" s="962" t="s">
        <v>332</v>
      </c>
      <c r="X7" s="952" t="s">
        <v>334</v>
      </c>
    </row>
    <row r="8" spans="1:30" ht="14.25" customHeight="1" x14ac:dyDescent="0.25">
      <c r="A8" s="917"/>
      <c r="B8" s="918"/>
      <c r="C8" s="486"/>
      <c r="D8" s="486"/>
      <c r="E8" s="486"/>
      <c r="F8" s="487"/>
      <c r="G8" s="924"/>
      <c r="H8" s="913"/>
      <c r="I8" s="880"/>
      <c r="J8" s="880"/>
      <c r="K8" s="880"/>
      <c r="L8" s="883"/>
      <c r="M8" s="886"/>
      <c r="N8" s="602"/>
      <c r="O8" s="895"/>
      <c r="P8" s="965"/>
      <c r="Q8" s="890"/>
      <c r="R8" s="890"/>
      <c r="S8" s="963"/>
      <c r="X8" s="952"/>
    </row>
    <row r="9" spans="1:30" ht="123" customHeight="1" thickBot="1" x14ac:dyDescent="0.3">
      <c r="A9" s="919"/>
      <c r="B9" s="920"/>
      <c r="C9" s="921" t="str">
        <f>IF(AND(SUM(H10:L10)&gt;0,F10=0),"Bitte Milchmenge angeben!","")</f>
        <v/>
      </c>
      <c r="D9" s="921"/>
      <c r="E9" s="921"/>
      <c r="F9" s="922"/>
      <c r="G9" s="925"/>
      <c r="H9" s="914"/>
      <c r="I9" s="881"/>
      <c r="J9" s="881"/>
      <c r="K9" s="881"/>
      <c r="L9" s="884"/>
      <c r="M9" s="887"/>
      <c r="N9" s="603" t="s">
        <v>320</v>
      </c>
      <c r="O9" s="896"/>
      <c r="P9" s="966"/>
      <c r="Q9" s="891"/>
      <c r="R9" s="891"/>
      <c r="S9" s="963"/>
      <c r="U9" s="681" t="s">
        <v>333</v>
      </c>
      <c r="V9" s="372" t="s">
        <v>166</v>
      </c>
      <c r="W9" s="97" t="s">
        <v>213</v>
      </c>
      <c r="X9" s="952"/>
      <c r="Y9" s="583" t="s">
        <v>335</v>
      </c>
      <c r="Z9" s="584" t="s">
        <v>87</v>
      </c>
      <c r="AA9" s="568" t="s">
        <v>309</v>
      </c>
      <c r="AB9" s="597" t="s">
        <v>324</v>
      </c>
      <c r="AC9" s="597" t="s">
        <v>325</v>
      </c>
      <c r="AD9" s="8" t="s">
        <v>326</v>
      </c>
    </row>
    <row r="10" spans="1:30" s="25" customFormat="1" ht="17.25" customHeight="1" x14ac:dyDescent="0.25">
      <c r="A10" s="910" t="s">
        <v>67</v>
      </c>
      <c r="B10" s="911"/>
      <c r="C10" s="940" t="s">
        <v>151</v>
      </c>
      <c r="D10" s="940"/>
      <c r="E10" s="940"/>
      <c r="F10" s="400"/>
      <c r="G10" s="109" t="s">
        <v>60</v>
      </c>
      <c r="H10" s="401"/>
      <c r="I10" s="402"/>
      <c r="J10" s="402"/>
      <c r="K10" s="402"/>
      <c r="L10" s="403"/>
      <c r="M10" s="373">
        <f>'Grundlagen GRUD'!M14</f>
        <v>1</v>
      </c>
      <c r="N10" s="604">
        <f>AD10</f>
        <v>0.59797619047619044</v>
      </c>
      <c r="O10" s="613">
        <f t="shared" ref="O10:O16" si="0">SUM(H10:L10)*N10</f>
        <v>0</v>
      </c>
      <c r="P10" s="422">
        <f>SUM(H10:L10)*M10</f>
        <v>0</v>
      </c>
      <c r="Q10" s="590">
        <f>IF(F10&gt;7500,V10+(V10*U10),V10 +(V10*S10))</f>
        <v>0</v>
      </c>
      <c r="R10" s="425">
        <f>IF(F10&gt;7500,((Z10+(Z10*Y10))/AA10),((Z10+(Z10*X10))/AA10))</f>
        <v>0</v>
      </c>
      <c r="S10" s="482">
        <f>(F10-7500)*0.005/100</f>
        <v>-0.375</v>
      </c>
      <c r="T10" s="364">
        <f>H10*M10</f>
        <v>0</v>
      </c>
      <c r="U10" s="374">
        <f>(F10-7500)*0.005/100</f>
        <v>-0.375</v>
      </c>
      <c r="V10" s="375">
        <f>(H10*'Grundlagen GRUD'!C14)+(I10*'Grundlagen GRUD'!G14)+(J10*'Grundlagen GRUD'!I14)+(K10*'Grundlagen GRUD'!K14)</f>
        <v>0</v>
      </c>
      <c r="W10" s="375">
        <f>H10*M10</f>
        <v>0</v>
      </c>
      <c r="X10" s="585">
        <f>(F10-7500)*0.005/100</f>
        <v>-0.375</v>
      </c>
      <c r="Y10" s="586">
        <f>(F10-7500)*0.005/100</f>
        <v>-0.375</v>
      </c>
      <c r="Z10" s="587">
        <f>(I10*'Grundlagen GRUD'!H14)+(J10*'Grundlagen GRUD'!J14)+(K10*'Grundlagen GRUD'!L14)+(L10*'Grundlagen GRUD'!F14)</f>
        <v>0</v>
      </c>
      <c r="AA10" s="569">
        <v>0.8</v>
      </c>
      <c r="AB10" s="25">
        <f>IF(F10=7500,112,((F10-7500)/1000*0.05*112)+112)</f>
        <v>70</v>
      </c>
      <c r="AC10" s="25">
        <f>IF(F10=7500,39,((F10-7500)/1000*0.07*39)+39)</f>
        <v>18.524999999999999</v>
      </c>
      <c r="AD10" s="25">
        <f>(AB10/105+AC10/35)/2</f>
        <v>0.59797619047619044</v>
      </c>
    </row>
    <row r="11" spans="1:30" s="25" customFormat="1" ht="17.25" customHeight="1" x14ac:dyDescent="0.25">
      <c r="A11" s="38" t="s">
        <v>150</v>
      </c>
      <c r="B11" s="39"/>
      <c r="C11" s="909" t="s">
        <v>151</v>
      </c>
      <c r="D11" s="909"/>
      <c r="E11" s="909"/>
      <c r="F11" s="41">
        <v>4200</v>
      </c>
      <c r="G11" s="109" t="s">
        <v>60</v>
      </c>
      <c r="H11" s="401"/>
      <c r="I11" s="402"/>
      <c r="J11" s="402"/>
      <c r="K11" s="402"/>
      <c r="L11" s="403"/>
      <c r="M11" s="373">
        <v>1</v>
      </c>
      <c r="N11" s="605">
        <v>0.87</v>
      </c>
      <c r="O11" s="614">
        <f t="shared" si="0"/>
        <v>0</v>
      </c>
      <c r="P11" s="423">
        <f>SUM(H11:L11)*M11</f>
        <v>0</v>
      </c>
      <c r="Q11" s="426">
        <f>IF(F11&gt;6500,V11+(V11*U11),V11 +(V11*S11))</f>
        <v>0</v>
      </c>
      <c r="R11" s="426">
        <f>IF(F11&gt;6500,((Z11+(Z11*Y11))/AA11),((Z11+(Z11*X11))/AA11))</f>
        <v>0</v>
      </c>
      <c r="S11" s="482">
        <f>(F11-7500)*0.005/100</f>
        <v>-0.16500000000000001</v>
      </c>
      <c r="T11" s="364">
        <f>H11*M11</f>
        <v>0</v>
      </c>
      <c r="U11" s="374">
        <f>(F11-7500)*0.005/100</f>
        <v>-0.16500000000000001</v>
      </c>
      <c r="V11" s="375">
        <f>(H11*'Grundlagen GRUD'!C14)+(I11*'Grundlagen GRUD'!G14)+(J11*'Grundlagen GRUD'!I14)+(K11*'Grundlagen GRUD'!K14)</f>
        <v>0</v>
      </c>
      <c r="W11" s="375">
        <f t="shared" ref="W11:W27" si="1">H11*M11</f>
        <v>0</v>
      </c>
      <c r="X11" s="585">
        <f>(F11-7500)*0.005/100</f>
        <v>-0.16500000000000001</v>
      </c>
      <c r="Y11" s="586">
        <f>(F11-7500)*0.005/100</f>
        <v>-0.16500000000000001</v>
      </c>
      <c r="Z11" s="587">
        <f>(I11*'Grundlagen GRUD'!H14)+(J11*'Grundlagen GRUD'!J14)+(K11*'Grundlagen GRUD'!L14)+(L11*'Grundlagen GRUD'!F14)</f>
        <v>0</v>
      </c>
      <c r="AA11" s="569">
        <v>0.8</v>
      </c>
    </row>
    <row r="12" spans="1:30" s="25" customFormat="1" ht="17.25" customHeight="1" x14ac:dyDescent="0.25">
      <c r="A12" s="271" t="s">
        <v>167</v>
      </c>
      <c r="B12" s="90"/>
      <c r="C12" s="348"/>
      <c r="D12" s="908" t="s">
        <v>151</v>
      </c>
      <c r="E12" s="908"/>
      <c r="F12" s="377">
        <v>3500</v>
      </c>
      <c r="G12" s="109" t="s">
        <v>60</v>
      </c>
      <c r="H12" s="401"/>
      <c r="I12" s="402"/>
      <c r="J12" s="402"/>
      <c r="K12" s="402"/>
      <c r="L12" s="403"/>
      <c r="M12" s="373">
        <v>1</v>
      </c>
      <c r="N12" s="605">
        <v>0.79</v>
      </c>
      <c r="O12" s="614">
        <f t="shared" si="0"/>
        <v>0</v>
      </c>
      <c r="P12" s="423">
        <f>SUM(H12:L12)*M12</f>
        <v>0</v>
      </c>
      <c r="Q12" s="426">
        <f>IF(F12&gt;6500,V12+(V12*U12),V12 +(V12*S12))</f>
        <v>0</v>
      </c>
      <c r="R12" s="426">
        <f>IF(F12&gt;6500,((Z12+(Z12*Y12))/AA12),((Z12+(Z12*X12))/AA12))</f>
        <v>0</v>
      </c>
      <c r="S12" s="482">
        <f>(F12-7500)*0.005/100</f>
        <v>-0.2</v>
      </c>
      <c r="T12" s="364">
        <f>H12*M12</f>
        <v>0</v>
      </c>
      <c r="U12" s="374"/>
      <c r="V12" s="375">
        <f>(H12*'Grundlagen GRUD'!C14)+(I12*'Grundlagen GRUD'!G14)+(J12*'Grundlagen GRUD'!I14)+(K12*'Grundlagen GRUD'!K14)</f>
        <v>0</v>
      </c>
      <c r="W12" s="375">
        <f t="shared" si="1"/>
        <v>0</v>
      </c>
      <c r="X12" s="585">
        <f>(F12-7500)*0.005/100</f>
        <v>-0.2</v>
      </c>
      <c r="Y12" s="585"/>
      <c r="Z12" s="587">
        <f>(I12*'Grundlagen GRUD'!H14)+(J12*'Grundlagen GRUD'!J14)+(K12*'Grundlagen GRUD'!L14)+(L12*'Grundlagen GRUD'!F14)</f>
        <v>0</v>
      </c>
      <c r="AA12" s="569">
        <v>0.8</v>
      </c>
    </row>
    <row r="13" spans="1:30" s="25" customFormat="1" ht="17.25" customHeight="1" x14ac:dyDescent="0.25">
      <c r="A13" s="812" t="s">
        <v>68</v>
      </c>
      <c r="B13" s="813"/>
      <c r="C13" s="813"/>
      <c r="D13" s="378"/>
      <c r="E13" s="379"/>
      <c r="F13" s="380"/>
      <c r="G13" s="109" t="s">
        <v>60</v>
      </c>
      <c r="H13" s="401"/>
      <c r="I13" s="404"/>
      <c r="J13" s="404"/>
      <c r="K13" s="404"/>
      <c r="L13" s="403"/>
      <c r="M13" s="714">
        <v>0.23</v>
      </c>
      <c r="N13" s="606">
        <v>0.26</v>
      </c>
      <c r="O13" s="614">
        <f t="shared" si="0"/>
        <v>0</v>
      </c>
      <c r="P13" s="423">
        <f t="shared" ref="P13:P27" si="2">SUM(H13:L13)*M13</f>
        <v>0</v>
      </c>
      <c r="Q13" s="426">
        <f>(H13*'Grundlagen GRUD'!C20)+(I13*'Grundlagen GRUD'!G20)+(J13*'Grundlagen GRUD'!I20)+(K13*'Grundlagen GRUD'!K20)</f>
        <v>0</v>
      </c>
      <c r="R13" s="427">
        <f>(I13*'Grundlagen GRUD'!H20/AA13)+(J13*'Grundlagen GRUD'!J20/AA13)+(K13*'Grundlagen GRUD'!L20/AA13)+(L13*'Grundlagen GRUD'!F20/AA13)</f>
        <v>0</v>
      </c>
      <c r="S13" s="482"/>
      <c r="T13" s="364">
        <f t="shared" ref="T13:T27" si="3">H13*M13</f>
        <v>0</v>
      </c>
      <c r="U13" s="374"/>
      <c r="V13" s="375"/>
      <c r="W13" s="375">
        <f t="shared" si="1"/>
        <v>0</v>
      </c>
      <c r="X13" s="585"/>
      <c r="Y13" s="585"/>
      <c r="Z13" s="585"/>
      <c r="AA13" s="569">
        <v>0.8</v>
      </c>
    </row>
    <row r="14" spans="1:30" s="25" customFormat="1" ht="17.25" customHeight="1" x14ac:dyDescent="0.25">
      <c r="A14" s="812" t="s">
        <v>69</v>
      </c>
      <c r="B14" s="813"/>
      <c r="C14" s="813"/>
      <c r="D14" s="382"/>
      <c r="E14" s="379"/>
      <c r="F14" s="380"/>
      <c r="G14" s="109" t="s">
        <v>60</v>
      </c>
      <c r="H14" s="401"/>
      <c r="I14" s="404"/>
      <c r="J14" s="404"/>
      <c r="K14" s="404"/>
      <c r="L14" s="403"/>
      <c r="M14" s="381">
        <f>'Grundlagen GRUD'!M21</f>
        <v>0.4</v>
      </c>
      <c r="N14" s="606">
        <v>0.4</v>
      </c>
      <c r="O14" s="614">
        <f t="shared" si="0"/>
        <v>0</v>
      </c>
      <c r="P14" s="423">
        <f t="shared" si="2"/>
        <v>0</v>
      </c>
      <c r="Q14" s="427">
        <f>(H14*'Grundlagen GRUD'!C21)+(I14*'Grundlagen GRUD'!G21)+(J14*'Grundlagen GRUD'!I21)+(K14*'Grundlagen GRUD'!K21)</f>
        <v>0</v>
      </c>
      <c r="R14" s="427">
        <f>(I14*'Grundlagen GRUD'!H21/AA14)+(J14*'Grundlagen GRUD'!J21/AA14)+(K14*'Grundlagen GRUD'!L21/AA14)+(L14*'Grundlagen GRUD'!F21/AA14)</f>
        <v>0</v>
      </c>
      <c r="S14" s="482"/>
      <c r="T14" s="364">
        <f t="shared" si="3"/>
        <v>0</v>
      </c>
      <c r="U14" s="374"/>
      <c r="V14" s="375"/>
      <c r="W14" s="375">
        <f t="shared" si="1"/>
        <v>0</v>
      </c>
      <c r="X14" s="585"/>
      <c r="Y14" s="585"/>
      <c r="Z14" s="585"/>
      <c r="AA14" s="569">
        <v>0.8</v>
      </c>
    </row>
    <row r="15" spans="1:30" s="25" customFormat="1" ht="17.25" customHeight="1" x14ac:dyDescent="0.25">
      <c r="A15" s="812" t="s">
        <v>70</v>
      </c>
      <c r="B15" s="813"/>
      <c r="C15" s="329"/>
      <c r="D15" s="382"/>
      <c r="E15" s="379"/>
      <c r="F15" s="380"/>
      <c r="G15" s="109" t="s">
        <v>60</v>
      </c>
      <c r="H15" s="401"/>
      <c r="I15" s="404"/>
      <c r="J15" s="404"/>
      <c r="K15" s="404"/>
      <c r="L15" s="403"/>
      <c r="M15" s="381">
        <f>'Grundlagen GRUD'!M22</f>
        <v>0.6</v>
      </c>
      <c r="N15" s="606">
        <v>0.55000000000000004</v>
      </c>
      <c r="O15" s="614">
        <f t="shared" si="0"/>
        <v>0</v>
      </c>
      <c r="P15" s="423">
        <f t="shared" si="2"/>
        <v>0</v>
      </c>
      <c r="Q15" s="427">
        <f>(H15*'Grundlagen GRUD'!C22)+(I15*'Grundlagen GRUD'!G22)+(J15*'Grundlagen GRUD'!I22)+(K15*'Grundlagen GRUD'!K22)</f>
        <v>0</v>
      </c>
      <c r="R15" s="427">
        <f>(I15*'Grundlagen GRUD'!H22/AA15)+(J15*'Grundlagen GRUD'!J22/AA15)+(K15*'Grundlagen GRUD'!L22/AA15)+(L15*'Grundlagen GRUD'!F22/AA15)</f>
        <v>0</v>
      </c>
      <c r="S15" s="482"/>
      <c r="T15" s="364">
        <f t="shared" si="3"/>
        <v>0</v>
      </c>
      <c r="U15" s="374"/>
      <c r="V15" s="375"/>
      <c r="W15" s="375">
        <f t="shared" si="1"/>
        <v>0</v>
      </c>
      <c r="X15" s="585"/>
      <c r="Y15" s="585"/>
      <c r="Z15" s="585"/>
      <c r="AA15" s="569">
        <v>0.8</v>
      </c>
    </row>
    <row r="16" spans="1:30" s="25" customFormat="1" ht="17.25" customHeight="1" x14ac:dyDescent="0.25">
      <c r="A16" s="812" t="s">
        <v>61</v>
      </c>
      <c r="B16" s="813"/>
      <c r="C16" s="329"/>
      <c r="D16" s="329"/>
      <c r="E16" s="379"/>
      <c r="F16" s="380"/>
      <c r="G16" s="109" t="s">
        <v>60</v>
      </c>
      <c r="H16" s="401"/>
      <c r="I16" s="404"/>
      <c r="J16" s="404"/>
      <c r="K16" s="404"/>
      <c r="L16" s="403"/>
      <c r="M16" s="381">
        <f>'Grundlagen GRUD'!M26</f>
        <v>0.6</v>
      </c>
      <c r="N16" s="606">
        <v>0.5</v>
      </c>
      <c r="O16" s="614">
        <f t="shared" si="0"/>
        <v>0</v>
      </c>
      <c r="P16" s="423">
        <f t="shared" si="2"/>
        <v>0</v>
      </c>
      <c r="Q16" s="427">
        <f>(H16*'Grundlagen GRUD'!C26)+(I16*'Grundlagen GRUD'!G26)+(J16*'Grundlagen GRUD'!I26)+(K16*'Grundlagen GRUD'!K26)</f>
        <v>0</v>
      </c>
      <c r="R16" s="427">
        <f>(I16*'Grundlagen GRUD'!H26/AA16)+(J16*'Grundlagen GRUD'!J26/AA16)+(K16*'Grundlagen GRUD'!L26/AA16)+(L16*'Grundlagen GRUD'!F26/AA16)</f>
        <v>0</v>
      </c>
      <c r="S16" s="482"/>
      <c r="T16" s="364">
        <f t="shared" si="3"/>
        <v>0</v>
      </c>
      <c r="U16" s="374"/>
      <c r="V16" s="375"/>
      <c r="W16" s="375">
        <f t="shared" si="1"/>
        <v>0</v>
      </c>
      <c r="X16" s="585"/>
      <c r="Y16" s="585"/>
      <c r="Z16" s="585"/>
      <c r="AA16" s="569">
        <v>0.8</v>
      </c>
    </row>
    <row r="17" spans="1:27" s="25" customFormat="1" ht="17.25" customHeight="1" x14ac:dyDescent="0.25">
      <c r="A17" s="926" t="s">
        <v>318</v>
      </c>
      <c r="B17" s="927"/>
      <c r="C17" s="927"/>
      <c r="D17" s="927"/>
      <c r="E17" s="927"/>
      <c r="F17" s="380"/>
      <c r="G17" s="109"/>
      <c r="H17" s="383"/>
      <c r="I17" s="384"/>
      <c r="J17" s="385"/>
      <c r="K17" s="384"/>
      <c r="L17" s="386"/>
      <c r="M17" s="381"/>
      <c r="N17" s="606"/>
      <c r="O17" s="685"/>
      <c r="P17" s="423"/>
      <c r="Q17" s="427"/>
      <c r="R17" s="427"/>
      <c r="S17" s="482"/>
      <c r="T17" s="364">
        <f t="shared" si="3"/>
        <v>0</v>
      </c>
      <c r="U17" s="374"/>
      <c r="V17" s="375"/>
      <c r="W17" s="375">
        <f t="shared" si="1"/>
        <v>0</v>
      </c>
      <c r="X17" s="585"/>
      <c r="Y17" s="585"/>
      <c r="Z17" s="585"/>
      <c r="AA17" s="569"/>
    </row>
    <row r="18" spans="1:27" s="25" customFormat="1" ht="17.25" customHeight="1" x14ac:dyDescent="0.25">
      <c r="A18" s="812" t="s">
        <v>317</v>
      </c>
      <c r="B18" s="813"/>
      <c r="C18" s="813"/>
      <c r="D18" s="814"/>
      <c r="E18" s="379"/>
      <c r="F18" s="380"/>
      <c r="G18" s="109" t="s">
        <v>60</v>
      </c>
      <c r="H18" s="401"/>
      <c r="I18" s="404"/>
      <c r="J18" s="404"/>
      <c r="K18" s="404"/>
      <c r="L18" s="403"/>
      <c r="M18" s="381">
        <v>1</v>
      </c>
      <c r="N18" s="606">
        <v>0.9</v>
      </c>
      <c r="O18" s="614">
        <f>SUM(H18:L18)*N18</f>
        <v>0</v>
      </c>
      <c r="P18" s="423">
        <f>SUM(H18:L18)*M18</f>
        <v>0</v>
      </c>
      <c r="Q18" s="427">
        <f>(H18*'Grundlagen GRUD'!C17)+(I18*'Grundlagen GRUD'!G17)+(J18*'Grundlagen GRUD'!I17)+(K18*'Grundlagen GRUD'!K17)</f>
        <v>0</v>
      </c>
      <c r="R18" s="427">
        <f>(I18*'Grundlagen GRUD'!H17/AA18)+(J18*'Grundlagen GRUD'!J17/AA18)+(K18*'Grundlagen GRUD'!L17/AA18)+(L18*'Grundlagen GRUD'!F17/AA18)</f>
        <v>0</v>
      </c>
      <c r="S18" s="482"/>
      <c r="T18" s="364">
        <f t="shared" si="3"/>
        <v>0</v>
      </c>
      <c r="U18" s="374"/>
      <c r="V18" s="375"/>
      <c r="W18" s="375">
        <f t="shared" si="1"/>
        <v>0</v>
      </c>
      <c r="X18" s="585"/>
      <c r="Y18" s="585"/>
      <c r="Z18" s="585"/>
      <c r="AA18" s="569">
        <v>0.8</v>
      </c>
    </row>
    <row r="19" spans="1:27" s="25" customFormat="1" ht="17.25" customHeight="1" x14ac:dyDescent="0.25">
      <c r="A19" s="38" t="s">
        <v>323</v>
      </c>
      <c r="B19" s="39"/>
      <c r="C19" s="39"/>
      <c r="D19" s="40"/>
      <c r="E19" s="379"/>
      <c r="F19" s="380"/>
      <c r="G19" s="109" t="s">
        <v>60</v>
      </c>
      <c r="H19" s="401"/>
      <c r="I19" s="404"/>
      <c r="J19" s="404"/>
      <c r="K19" s="404"/>
      <c r="L19" s="403"/>
      <c r="M19" s="381">
        <v>1</v>
      </c>
      <c r="N19" s="606">
        <v>0.8</v>
      </c>
      <c r="O19" s="614">
        <f>SUM(H19:L19)*N19</f>
        <v>0</v>
      </c>
      <c r="P19" s="423">
        <f>SUM(H19:L19)*M19</f>
        <v>0</v>
      </c>
      <c r="Q19" s="427">
        <f>(H19*'Grundlagen GRUD'!C18)+(I19*'Grundlagen GRUD'!G18)+(J19*'Grundlagen GRUD'!I18)+(K19*'Grundlagen GRUD'!K18)</f>
        <v>0</v>
      </c>
      <c r="R19" s="427">
        <f>(I19*'Grundlagen GRUD'!H18/AA19)+(J19*'Grundlagen GRUD'!J18/AA19)+(K19*'Grundlagen GRUD'!L18/AA19)+(L19*'Grundlagen GRUD'!F18/AA19)</f>
        <v>0</v>
      </c>
      <c r="S19" s="482"/>
      <c r="T19" s="364">
        <f t="shared" si="3"/>
        <v>0</v>
      </c>
      <c r="U19" s="374"/>
      <c r="V19" s="375"/>
      <c r="W19" s="375">
        <f t="shared" si="1"/>
        <v>0</v>
      </c>
      <c r="X19" s="585"/>
      <c r="Y19" s="585"/>
      <c r="Z19" s="585"/>
      <c r="AA19" s="569">
        <v>0.8</v>
      </c>
    </row>
    <row r="20" spans="1:27" s="25" customFormat="1" ht="17.25" customHeight="1" x14ac:dyDescent="0.25">
      <c r="A20" s="812" t="s">
        <v>321</v>
      </c>
      <c r="B20" s="814"/>
      <c r="C20" s="814"/>
      <c r="D20" s="814"/>
      <c r="E20" s="379"/>
      <c r="F20" s="380"/>
      <c r="G20" s="109" t="s">
        <v>60</v>
      </c>
      <c r="H20" s="401"/>
      <c r="I20" s="404"/>
      <c r="J20" s="404"/>
      <c r="K20" s="404"/>
      <c r="L20" s="403"/>
      <c r="M20" s="381">
        <v>1</v>
      </c>
      <c r="N20" s="606">
        <v>0.69</v>
      </c>
      <c r="O20" s="614">
        <f>SUM(H20:L20)*N20</f>
        <v>0</v>
      </c>
      <c r="P20" s="423">
        <f>SUM(H20:L20)*M20</f>
        <v>0</v>
      </c>
      <c r="Q20" s="427">
        <f>(H20*'Grundlagen GRUD'!C19)+(I20*'Grundlagen GRUD'!G19)+(J20*'Grundlagen GRUD'!I19)+(K20*'Grundlagen GRUD'!K19)</f>
        <v>0</v>
      </c>
      <c r="R20" s="427">
        <f>(I20*'Grundlagen GRUD'!H19/AA20)+(J20*'Grundlagen GRUD'!J19/AA20)+(K20*'Grundlagen GRUD'!L19/AA20)+(L20*'Grundlagen GRUD'!F19/AA20)</f>
        <v>0</v>
      </c>
      <c r="S20" s="482"/>
      <c r="T20" s="364">
        <f t="shared" si="3"/>
        <v>0</v>
      </c>
      <c r="U20" s="374"/>
      <c r="V20" s="375"/>
      <c r="W20" s="375">
        <f t="shared" si="1"/>
        <v>0</v>
      </c>
      <c r="X20" s="585"/>
      <c r="Y20" s="585"/>
      <c r="Z20" s="585"/>
      <c r="AA20" s="569">
        <v>0.8</v>
      </c>
    </row>
    <row r="21" spans="1:27" s="25" customFormat="1" ht="17.25" customHeight="1" x14ac:dyDescent="0.25">
      <c r="A21" s="930" t="s">
        <v>343</v>
      </c>
      <c r="B21" s="931"/>
      <c r="C21" s="931"/>
      <c r="D21" s="716"/>
      <c r="E21" s="717"/>
      <c r="F21" s="718"/>
      <c r="G21" s="109" t="s">
        <v>60</v>
      </c>
      <c r="H21" s="401"/>
      <c r="I21" s="404"/>
      <c r="J21" s="404"/>
      <c r="K21" s="404"/>
      <c r="L21" s="403"/>
      <c r="M21" s="381">
        <v>0.22</v>
      </c>
      <c r="N21" s="715">
        <v>0.33</v>
      </c>
      <c r="O21" s="614">
        <f>SUM(H21:L21)*N21</f>
        <v>0</v>
      </c>
      <c r="P21" s="423">
        <f>SUM(H21:L21)*M21</f>
        <v>0</v>
      </c>
      <c r="Q21" s="427">
        <f>(H21*'Grundlagen GRUD'!C24)+(I21*'Grundlagen GRUD'!G24)+(J21*'Grundlagen GRUD'!I24)+(K21*'Grundlagen GRUD'!K24)</f>
        <v>0</v>
      </c>
      <c r="R21" s="427">
        <f>(I21*'Grundlagen GRUD'!H24/AA21)+(J21*'Grundlagen GRUD'!J24/AA21)+(K21*'Grundlagen GRUD'!L24/AA21)+(L21*'Grundlagen GRUD'!F24/AA21)</f>
        <v>0</v>
      </c>
      <c r="S21" s="482"/>
      <c r="T21" s="364"/>
      <c r="U21" s="374"/>
      <c r="V21" s="375"/>
      <c r="W21" s="375"/>
      <c r="X21" s="585"/>
      <c r="Y21" s="585"/>
      <c r="Z21" s="585"/>
      <c r="AA21" s="569">
        <v>0.8</v>
      </c>
    </row>
    <row r="22" spans="1:27" s="25" customFormat="1" ht="17.25" customHeight="1" x14ac:dyDescent="0.25">
      <c r="A22" s="930" t="s">
        <v>344</v>
      </c>
      <c r="B22" s="931"/>
      <c r="C22" s="931"/>
      <c r="D22" s="719"/>
      <c r="E22" s="717"/>
      <c r="F22" s="718"/>
      <c r="G22" s="109" t="s">
        <v>60</v>
      </c>
      <c r="H22" s="401"/>
      <c r="I22" s="404"/>
      <c r="J22" s="404"/>
      <c r="K22" s="404"/>
      <c r="L22" s="403"/>
      <c r="M22" s="381">
        <f>'Grundlagen GRUD'!M25</f>
        <v>0.13</v>
      </c>
      <c r="N22" s="715">
        <v>0.18</v>
      </c>
      <c r="O22" s="614">
        <f>SUM(H22:L22)*N22</f>
        <v>0</v>
      </c>
      <c r="P22" s="423">
        <f t="shared" si="2"/>
        <v>0</v>
      </c>
      <c r="Q22" s="427">
        <f>(H22*'Grundlagen GRUD'!C25)+(I22*'Grundlagen GRUD'!G25)+(J22*'Grundlagen GRUD'!I25)+(K22*'Grundlagen GRUD'!K25)</f>
        <v>0</v>
      </c>
      <c r="R22" s="427">
        <f>(I22*'Grundlagen GRUD'!H25/AA22)+(J22*'Grundlagen GRUD'!J25/AA22)+(K22*'Grundlagen GRUD'!L25/AA22)+(L22*'Grundlagen GRUD'!F25/AA22)</f>
        <v>0</v>
      </c>
      <c r="S22" s="482"/>
      <c r="T22" s="364">
        <f t="shared" si="3"/>
        <v>0</v>
      </c>
      <c r="U22" s="374"/>
      <c r="V22" s="375"/>
      <c r="W22" s="375">
        <f t="shared" si="1"/>
        <v>0</v>
      </c>
      <c r="X22" s="585"/>
      <c r="Y22" s="585"/>
      <c r="Z22" s="585"/>
      <c r="AA22" s="569">
        <v>0.8</v>
      </c>
    </row>
    <row r="23" spans="1:27" s="25" customFormat="1" ht="17.25" customHeight="1" x14ac:dyDescent="0.25">
      <c r="A23" s="926" t="s">
        <v>21</v>
      </c>
      <c r="B23" s="927"/>
      <c r="C23" s="927"/>
      <c r="D23" s="325"/>
      <c r="E23" s="379"/>
      <c r="F23" s="380"/>
      <c r="G23" s="109"/>
      <c r="H23" s="383"/>
      <c r="I23" s="385"/>
      <c r="J23" s="385"/>
      <c r="K23" s="385"/>
      <c r="L23" s="386"/>
      <c r="M23" s="381"/>
      <c r="N23" s="606"/>
      <c r="O23" s="685"/>
      <c r="P23" s="423"/>
      <c r="Q23" s="324"/>
      <c r="R23" s="427"/>
      <c r="S23" s="482"/>
      <c r="T23" s="364">
        <f t="shared" si="3"/>
        <v>0</v>
      </c>
      <c r="U23" s="374"/>
      <c r="V23" s="375"/>
      <c r="W23" s="375">
        <f t="shared" si="1"/>
        <v>0</v>
      </c>
      <c r="X23" s="585"/>
      <c r="Y23" s="585"/>
      <c r="Z23" s="585"/>
      <c r="AA23" s="569"/>
    </row>
    <row r="24" spans="1:27" s="25" customFormat="1" ht="17.25" customHeight="1" x14ac:dyDescent="0.25">
      <c r="A24" s="936" t="str">
        <f>'[1]Grundlagen GRUD'!A28</f>
        <v xml:space="preserve">Rindviehmast, bis Alter 160 Tage  </v>
      </c>
      <c r="B24" s="937"/>
      <c r="C24" s="937"/>
      <c r="D24" s="937"/>
      <c r="E24" s="379"/>
      <c r="F24" s="380"/>
      <c r="G24" s="109" t="s">
        <v>60</v>
      </c>
      <c r="H24" s="406"/>
      <c r="I24" s="404"/>
      <c r="J24" s="403"/>
      <c r="K24" s="404"/>
      <c r="L24" s="403"/>
      <c r="M24" s="381">
        <f>'Grundlagen GRUD'!M28</f>
        <v>0.13</v>
      </c>
      <c r="N24" s="606">
        <v>0.09</v>
      </c>
      <c r="O24" s="614">
        <f>SUM(H24:L24)*N24</f>
        <v>0</v>
      </c>
      <c r="P24" s="423">
        <f t="shared" si="2"/>
        <v>0</v>
      </c>
      <c r="Q24" s="427">
        <f>(H24*'Grundlagen GRUD'!C28)+(I24*'Grundlagen GRUD'!G28)+(J24*'Grundlagen GRUD'!I28)+(K24*'Grundlagen GRUD'!K28)</f>
        <v>0</v>
      </c>
      <c r="R24" s="427">
        <f>(I24*'Grundlagen GRUD'!H28/AA24)+(J24*'Grundlagen GRUD'!J28/AA24)+(K24*'Grundlagen GRUD'!L28/AA24)+(L24*'Grundlagen GRUD'!F28/AA24)</f>
        <v>0</v>
      </c>
      <c r="S24" s="482"/>
      <c r="T24" s="364">
        <f t="shared" si="3"/>
        <v>0</v>
      </c>
      <c r="U24" s="374"/>
      <c r="V24" s="375"/>
      <c r="W24" s="375">
        <f t="shared" si="1"/>
        <v>0</v>
      </c>
      <c r="X24" s="585"/>
      <c r="Y24" s="585"/>
      <c r="Z24" s="585"/>
      <c r="AA24" s="569">
        <v>0.8</v>
      </c>
    </row>
    <row r="25" spans="1:27" s="25" customFormat="1" ht="17.25" customHeight="1" x14ac:dyDescent="0.25">
      <c r="A25" s="936" t="str">
        <f>'[1]Grundlagen GRUD'!A29</f>
        <v xml:space="preserve">Rindviehmast, Alter &gt; 160 Tage  </v>
      </c>
      <c r="B25" s="937"/>
      <c r="C25" s="937"/>
      <c r="D25" s="937"/>
      <c r="E25" s="379"/>
      <c r="F25" s="380"/>
      <c r="G25" s="109" t="s">
        <v>60</v>
      </c>
      <c r="H25" s="406"/>
      <c r="I25" s="403"/>
      <c r="J25" s="403"/>
      <c r="K25" s="403"/>
      <c r="L25" s="403"/>
      <c r="M25" s="381">
        <f>'Grundlagen GRUD'!M29</f>
        <v>0.31</v>
      </c>
      <c r="N25" s="606">
        <v>0.37</v>
      </c>
      <c r="O25" s="614">
        <f>SUM(H25:L25)*N25</f>
        <v>0</v>
      </c>
      <c r="P25" s="423">
        <f t="shared" si="2"/>
        <v>0</v>
      </c>
      <c r="Q25" s="427">
        <f>(H25*'Grundlagen GRUD'!C29)+(I25*'Grundlagen GRUD'!G29)+(J25*'Grundlagen GRUD'!I29)+(K25*'Grundlagen GRUD'!K29)</f>
        <v>0</v>
      </c>
      <c r="R25" s="427">
        <f>(I25*'Grundlagen GRUD'!H29/AA25)+(J25*'Grundlagen GRUD'!J29/AA25)+(K25*'Grundlagen GRUD'!L29/AA25)+(L25*'Grundlagen GRUD'!F29/AA25)</f>
        <v>0</v>
      </c>
      <c r="S25" s="482"/>
      <c r="T25" s="364">
        <f t="shared" si="3"/>
        <v>0</v>
      </c>
      <c r="U25" s="374"/>
      <c r="V25" s="375"/>
      <c r="W25" s="375">
        <f t="shared" si="1"/>
        <v>0</v>
      </c>
      <c r="X25" s="585"/>
      <c r="Y25" s="585"/>
      <c r="Z25" s="585"/>
      <c r="AA25" s="569">
        <v>0.8</v>
      </c>
    </row>
    <row r="26" spans="1:27" s="25" customFormat="1" ht="17.25" customHeight="1" x14ac:dyDescent="0.25">
      <c r="A26" s="926" t="s">
        <v>22</v>
      </c>
      <c r="B26" s="927"/>
      <c r="C26" s="927"/>
      <c r="D26" s="927"/>
      <c r="E26" s="379"/>
      <c r="F26" s="380"/>
      <c r="G26" s="109"/>
      <c r="H26" s="953"/>
      <c r="I26" s="954"/>
      <c r="J26" s="954"/>
      <c r="K26" s="954"/>
      <c r="L26" s="386"/>
      <c r="M26" s="381"/>
      <c r="N26" s="606"/>
      <c r="O26" s="685"/>
      <c r="P26" s="376"/>
      <c r="Q26" s="324"/>
      <c r="R26" s="427"/>
      <c r="S26" s="482"/>
      <c r="T26" s="364">
        <f t="shared" si="3"/>
        <v>0</v>
      </c>
      <c r="U26" s="374"/>
      <c r="V26" s="375"/>
      <c r="W26" s="375">
        <f t="shared" si="1"/>
        <v>0</v>
      </c>
      <c r="X26" s="585"/>
      <c r="Y26" s="585"/>
      <c r="Z26" s="585"/>
      <c r="AA26" s="569"/>
    </row>
    <row r="27" spans="1:27" s="25" customFormat="1" ht="17.25" customHeight="1" thickBot="1" x14ac:dyDescent="0.3">
      <c r="A27" s="928" t="s">
        <v>105</v>
      </c>
      <c r="B27" s="929"/>
      <c r="C27" s="929"/>
      <c r="D27" s="929"/>
      <c r="E27" s="387"/>
      <c r="F27" s="388"/>
      <c r="G27" s="109" t="s">
        <v>60</v>
      </c>
      <c r="H27" s="955"/>
      <c r="I27" s="956"/>
      <c r="J27" s="956"/>
      <c r="K27" s="956"/>
      <c r="L27" s="407"/>
      <c r="M27" s="596">
        <f>'Grundlagen GRUD'!M23</f>
        <v>0.13</v>
      </c>
      <c r="N27" s="607">
        <v>0.19</v>
      </c>
      <c r="O27" s="615">
        <f>SUM(H27:L27)*N27</f>
        <v>0</v>
      </c>
      <c r="P27" s="322">
        <f t="shared" si="2"/>
        <v>0</v>
      </c>
      <c r="Q27" s="324"/>
      <c r="R27" s="427">
        <f>L27*'Grundlagen GRUD'!F23/AA27</f>
        <v>0</v>
      </c>
      <c r="S27" s="482"/>
      <c r="T27" s="364">
        <f t="shared" si="3"/>
        <v>0</v>
      </c>
      <c r="U27" s="374"/>
      <c r="V27" s="375"/>
      <c r="W27" s="375">
        <f t="shared" si="1"/>
        <v>0</v>
      </c>
      <c r="X27" s="585"/>
      <c r="Y27" s="585"/>
      <c r="Z27" s="585"/>
      <c r="AA27" s="569">
        <v>0.8</v>
      </c>
    </row>
    <row r="28" spans="1:27" s="24" customFormat="1" ht="17.25" customHeight="1" thickBot="1" x14ac:dyDescent="0.3">
      <c r="A28" s="938" t="s">
        <v>27</v>
      </c>
      <c r="B28" s="939"/>
      <c r="C28" s="939"/>
      <c r="D28" s="939"/>
      <c r="E28" s="939"/>
      <c r="F28" s="334"/>
      <c r="G28" s="389"/>
      <c r="H28" s="390"/>
      <c r="I28" s="391"/>
      <c r="J28" s="391"/>
      <c r="K28" s="391"/>
      <c r="L28" s="391"/>
      <c r="M28" s="618"/>
      <c r="N28" s="617"/>
      <c r="O28" s="600">
        <f>SUM(O10:O27)</f>
        <v>0</v>
      </c>
      <c r="P28" s="424">
        <f>SUM(P10:P27)</f>
        <v>0</v>
      </c>
      <c r="Q28" s="428">
        <f>SUM(Q10:Q27)</f>
        <v>0</v>
      </c>
      <c r="R28" s="428">
        <f>SUM(R10:R27)</f>
        <v>0</v>
      </c>
      <c r="S28" s="483"/>
      <c r="T28" s="375">
        <f>SUM(T10:T27)</f>
        <v>0</v>
      </c>
      <c r="U28" s="392"/>
      <c r="V28" s="392"/>
      <c r="W28" s="375">
        <f>SUM(W10:W27)</f>
        <v>0</v>
      </c>
      <c r="X28" s="588"/>
      <c r="Y28" s="588"/>
      <c r="Z28" s="588"/>
      <c r="AA28" s="570"/>
    </row>
    <row r="29" spans="1:27" ht="12.75" customHeight="1" thickBot="1" x14ac:dyDescent="0.25">
      <c r="A29" s="393"/>
      <c r="G29" s="108"/>
      <c r="O29" s="55"/>
      <c r="R29" s="27"/>
    </row>
    <row r="30" spans="1:27" ht="27.75" customHeight="1" x14ac:dyDescent="0.2">
      <c r="A30" s="915" t="s">
        <v>8</v>
      </c>
      <c r="B30" s="943"/>
      <c r="C30" s="943"/>
      <c r="D30" s="943"/>
      <c r="E30" s="943"/>
      <c r="F30" s="944"/>
      <c r="G30" s="934" t="s">
        <v>53</v>
      </c>
      <c r="H30" s="975" t="s">
        <v>180</v>
      </c>
      <c r="I30" s="879" t="s">
        <v>223</v>
      </c>
      <c r="J30" s="879" t="s">
        <v>243</v>
      </c>
      <c r="K30" s="879" t="s">
        <v>182</v>
      </c>
      <c r="L30" s="882" t="s">
        <v>39</v>
      </c>
      <c r="M30" s="885" t="s">
        <v>94</v>
      </c>
      <c r="N30" s="601"/>
      <c r="O30" s="894" t="s">
        <v>319</v>
      </c>
      <c r="P30" s="964" t="s">
        <v>97</v>
      </c>
      <c r="Q30" s="889" t="s">
        <v>126</v>
      </c>
      <c r="R30" s="889" t="s">
        <v>310</v>
      </c>
    </row>
    <row r="31" spans="1:27" ht="123" customHeight="1" thickBot="1" x14ac:dyDescent="0.25">
      <c r="A31" s="945"/>
      <c r="B31" s="946"/>
      <c r="C31" s="946"/>
      <c r="D31" s="946"/>
      <c r="E31" s="946"/>
      <c r="F31" s="947"/>
      <c r="G31" s="935"/>
      <c r="H31" s="976"/>
      <c r="I31" s="881"/>
      <c r="J31" s="881"/>
      <c r="K31" s="881"/>
      <c r="L31" s="884"/>
      <c r="M31" s="887"/>
      <c r="N31" s="603" t="s">
        <v>320</v>
      </c>
      <c r="O31" s="970"/>
      <c r="P31" s="966"/>
      <c r="Q31" s="891"/>
      <c r="R31" s="891"/>
      <c r="W31" s="97" t="s">
        <v>213</v>
      </c>
    </row>
    <row r="32" spans="1:27" ht="17.25" customHeight="1" x14ac:dyDescent="0.25">
      <c r="A32" s="936" t="s">
        <v>75</v>
      </c>
      <c r="B32" s="937"/>
      <c r="C32" s="937"/>
      <c r="D32" s="937"/>
      <c r="E32" s="90"/>
      <c r="F32" s="90"/>
      <c r="G32" s="327" t="s">
        <v>60</v>
      </c>
      <c r="H32" s="403"/>
      <c r="I32" s="403"/>
      <c r="J32" s="403"/>
      <c r="K32" s="403"/>
      <c r="L32" s="403"/>
      <c r="M32" s="344">
        <v>2.65</v>
      </c>
      <c r="N32" s="608">
        <v>0.51</v>
      </c>
      <c r="O32" s="613">
        <f t="shared" ref="O32:O37" si="4">SUM(H32:L32)*N32</f>
        <v>0</v>
      </c>
      <c r="P32" s="429">
        <f t="shared" ref="P32:P37" si="5">(H32+I32+J32+K32+L32)*M32</f>
        <v>0</v>
      </c>
      <c r="Q32" s="427">
        <f>(H32*'Grundlagen GRUD'!C44)+(I32*'Grundlagen GRUD'!G44)+(J32*'Grundlagen GRUD'!I44)+(K32*'Grundlagen GRUD'!K44)</f>
        <v>0</v>
      </c>
      <c r="R32" s="427">
        <f>(I32*'Grundlagen GRUD'!H44/AA32)+(J32*'Grundlagen GRUD'!J44/AA32)+(K32*'Grundlagen GRUD'!L44/AA32)+(L32*'Grundlagen GRUD'!F44/AA32)</f>
        <v>0</v>
      </c>
      <c r="T32" s="364">
        <f t="shared" ref="T32:T37" si="6">H32*M32</f>
        <v>0</v>
      </c>
      <c r="W32" s="364">
        <f t="shared" ref="W32:W37" si="7">(H32+I32+J32+K32+L32)*N32</f>
        <v>0</v>
      </c>
      <c r="AA32" s="565">
        <v>0.8</v>
      </c>
    </row>
    <row r="33" spans="1:28" ht="17.25" customHeight="1" x14ac:dyDescent="0.25">
      <c r="A33" s="936" t="s">
        <v>9</v>
      </c>
      <c r="B33" s="937"/>
      <c r="C33" s="937"/>
      <c r="D33" s="325"/>
      <c r="E33" s="39"/>
      <c r="F33" s="39"/>
      <c r="G33" s="330" t="s">
        <v>59</v>
      </c>
      <c r="H33" s="403"/>
      <c r="I33" s="403"/>
      <c r="J33" s="403"/>
      <c r="K33" s="403"/>
      <c r="L33" s="403"/>
      <c r="M33" s="345">
        <v>1.47</v>
      </c>
      <c r="N33" s="608">
        <v>0.23</v>
      </c>
      <c r="O33" s="614">
        <f t="shared" si="4"/>
        <v>0</v>
      </c>
      <c r="P33" s="429">
        <f t="shared" si="5"/>
        <v>0</v>
      </c>
      <c r="Q33" s="427">
        <f>(H33*'Grundlagen GRUD'!C48)+(I33*'Grundlagen GRUD'!G48)+(J33*'Grundlagen GRUD'!I48)+(K33*'Grundlagen GRUD'!K48)</f>
        <v>0</v>
      </c>
      <c r="R33" s="427">
        <f>(I33*'Grundlagen GRUD'!H48/AA33)+(J33*'Grundlagen GRUD'!J48/AA33)+(K33*'Grundlagen GRUD'!L48/AA33)+(L33*'Grundlagen GRUD'!F48/AA33)</f>
        <v>0</v>
      </c>
      <c r="T33" s="364">
        <f t="shared" si="6"/>
        <v>0</v>
      </c>
      <c r="W33" s="364">
        <f t="shared" si="7"/>
        <v>0</v>
      </c>
      <c r="AA33" s="565">
        <v>0.8</v>
      </c>
    </row>
    <row r="34" spans="1:28" ht="17.25" customHeight="1" x14ac:dyDescent="0.25">
      <c r="A34" s="936" t="s">
        <v>101</v>
      </c>
      <c r="B34" s="937"/>
      <c r="C34" s="937"/>
      <c r="D34" s="937"/>
      <c r="E34" s="937"/>
      <c r="F34" s="39"/>
      <c r="G34" s="330" t="s">
        <v>60</v>
      </c>
      <c r="H34" s="403"/>
      <c r="I34" s="403"/>
      <c r="J34" s="403"/>
      <c r="K34" s="403"/>
      <c r="L34" s="403"/>
      <c r="M34" s="345">
        <v>1</v>
      </c>
      <c r="N34" s="608">
        <v>0.14000000000000001</v>
      </c>
      <c r="O34" s="614">
        <f t="shared" si="4"/>
        <v>0</v>
      </c>
      <c r="P34" s="429">
        <f t="shared" si="5"/>
        <v>0</v>
      </c>
      <c r="Q34" s="427">
        <f>(H34*'Grundlagen GRUD'!C43)+(I34*'Grundlagen GRUD'!G43)+(J34*'Grundlagen GRUD'!I43)+(K34*'Grundlagen GRUD'!K43)</f>
        <v>0</v>
      </c>
      <c r="R34" s="427">
        <f>(I34*'Grundlagen GRUD'!H43/AA34)+(J34*'Grundlagen GRUD'!J43/AA34)+(K34*'Grundlagen GRUD'!L43/AA34)+(L34*'Grundlagen GRUD'!F43/AA34)</f>
        <v>0</v>
      </c>
      <c r="T34" s="364">
        <f t="shared" si="6"/>
        <v>0</v>
      </c>
      <c r="W34" s="364">
        <f t="shared" si="7"/>
        <v>0</v>
      </c>
      <c r="AA34" s="565">
        <v>0.8</v>
      </c>
    </row>
    <row r="35" spans="1:28" ht="17.25" customHeight="1" x14ac:dyDescent="0.25">
      <c r="A35" s="936" t="s">
        <v>102</v>
      </c>
      <c r="B35" s="937"/>
      <c r="C35" s="937"/>
      <c r="D35" s="325"/>
      <c r="E35" s="39"/>
      <c r="F35" s="39"/>
      <c r="G35" s="330" t="s">
        <v>60</v>
      </c>
      <c r="H35" s="403"/>
      <c r="I35" s="403"/>
      <c r="J35" s="403"/>
      <c r="K35" s="403"/>
      <c r="L35" s="403"/>
      <c r="M35" s="345">
        <v>0.35</v>
      </c>
      <c r="N35" s="608">
        <v>0.04</v>
      </c>
      <c r="O35" s="614">
        <f t="shared" si="4"/>
        <v>0</v>
      </c>
      <c r="P35" s="429">
        <f t="shared" si="5"/>
        <v>0</v>
      </c>
      <c r="Q35" s="427">
        <f>(H35*'Grundlagen GRUD'!C46)+(I35*'Grundlagen GRUD'!G46)+(J35*'Grundlagen GRUD'!I46)+(K35*'Grundlagen GRUD'!K46)</f>
        <v>0</v>
      </c>
      <c r="R35" s="427">
        <f>(I35*'Grundlagen GRUD'!H46/AA35)+(J35*'Grundlagen GRUD'!J46/AA35)+(K35*'Grundlagen GRUD'!L46/AA35)+(L35*'Grundlagen GRUD'!F46/AA35)</f>
        <v>0</v>
      </c>
      <c r="T35" s="364">
        <f t="shared" si="6"/>
        <v>0</v>
      </c>
      <c r="W35" s="364">
        <f t="shared" si="7"/>
        <v>0</v>
      </c>
      <c r="AA35" s="565">
        <v>0.8</v>
      </c>
    </row>
    <row r="36" spans="1:28" ht="17.25" customHeight="1" x14ac:dyDescent="0.25">
      <c r="A36" s="936" t="str">
        <f>'Grundlagen GRUD'!A47</f>
        <v xml:space="preserve">Säugende Zuchtsau </v>
      </c>
      <c r="B36" s="937"/>
      <c r="C36" s="937"/>
      <c r="D36" s="325"/>
      <c r="E36" s="39"/>
      <c r="F36" s="39"/>
      <c r="G36" s="330" t="s">
        <v>60</v>
      </c>
      <c r="H36" s="403"/>
      <c r="I36" s="403"/>
      <c r="J36" s="403"/>
      <c r="K36" s="403"/>
      <c r="L36" s="403"/>
      <c r="M36" s="345">
        <v>3.24</v>
      </c>
      <c r="N36" s="608">
        <v>0.56000000000000005</v>
      </c>
      <c r="O36" s="614">
        <f t="shared" si="4"/>
        <v>0</v>
      </c>
      <c r="P36" s="429">
        <f>(H36+I36+J36+K36+L36)*M36</f>
        <v>0</v>
      </c>
      <c r="Q36" s="427">
        <f>(H36*'Grundlagen GRUD'!C47)+(I36*'Grundlagen GRUD'!G47)+(J36*'Grundlagen GRUD'!I47)+(K36*'Grundlagen GRUD'!K47)</f>
        <v>0</v>
      </c>
      <c r="R36" s="427">
        <f>(I36*'Grundlagen GRUD'!H47/AA36)+(J36*'Grundlagen GRUD'!J47/AA36)+(K36*'Grundlagen GRUD'!L47/AA36)+(L36*'Grundlagen GRUD'!F47/AA36)</f>
        <v>0</v>
      </c>
      <c r="T36" s="364">
        <f t="shared" si="6"/>
        <v>0</v>
      </c>
      <c r="W36" s="364">
        <f t="shared" si="7"/>
        <v>0</v>
      </c>
      <c r="AA36" s="565">
        <v>0.8</v>
      </c>
    </row>
    <row r="37" spans="1:28" ht="17.25" customHeight="1" thickBot="1" x14ac:dyDescent="0.3">
      <c r="A37" s="941" t="s">
        <v>103</v>
      </c>
      <c r="B37" s="942"/>
      <c r="C37" s="942"/>
      <c r="D37" s="94"/>
      <c r="E37" s="49"/>
      <c r="F37" s="49"/>
      <c r="G37" s="330" t="s">
        <v>60</v>
      </c>
      <c r="H37" s="408"/>
      <c r="I37" s="408"/>
      <c r="J37" s="408"/>
      <c r="K37" s="408"/>
      <c r="L37" s="611"/>
      <c r="M37" s="616">
        <v>1.53</v>
      </c>
      <c r="N37" s="609">
        <v>0.33</v>
      </c>
      <c r="O37" s="615">
        <f t="shared" si="4"/>
        <v>0</v>
      </c>
      <c r="P37" s="430">
        <f t="shared" si="5"/>
        <v>0</v>
      </c>
      <c r="Q37" s="427">
        <f>(H37*'Grundlagen GRUD'!C45)+(I37*'Grundlagen GRUD'!G45)+(J37*'Grundlagen GRUD'!I45)+(K37*'Grundlagen GRUD'!K45)</f>
        <v>0</v>
      </c>
      <c r="R37" s="427">
        <f>(I37*'Grundlagen GRUD'!H45/AA37)+(J37*'Grundlagen GRUD'!J45/AA37)+(K37*'Grundlagen GRUD'!L45/AA37)+(L37*'Grundlagen GRUD'!F45/AA37)</f>
        <v>0</v>
      </c>
      <c r="T37" s="364">
        <f t="shared" si="6"/>
        <v>0</v>
      </c>
      <c r="W37" s="364">
        <f t="shared" si="7"/>
        <v>0</v>
      </c>
      <c r="AA37" s="565">
        <v>0.8</v>
      </c>
    </row>
    <row r="38" spans="1:28" ht="17.25" customHeight="1" thickBot="1" x14ac:dyDescent="0.3">
      <c r="A38" s="938" t="s">
        <v>31</v>
      </c>
      <c r="B38" s="939"/>
      <c r="C38" s="939"/>
      <c r="D38" s="939"/>
      <c r="E38" s="308"/>
      <c r="F38" s="308"/>
      <c r="G38" s="270"/>
      <c r="H38" s="394"/>
      <c r="I38" s="394"/>
      <c r="J38" s="394"/>
      <c r="K38" s="394"/>
      <c r="L38" s="394"/>
      <c r="M38" s="594"/>
      <c r="N38" s="594"/>
      <c r="O38" s="623">
        <f>SUM(O32:O37)</f>
        <v>0</v>
      </c>
      <c r="P38" s="431">
        <f>SUM(P32:P37)</f>
        <v>0</v>
      </c>
      <c r="Q38" s="428">
        <f>SUM(Q32:Q37)</f>
        <v>0</v>
      </c>
      <c r="R38" s="428">
        <f>SUM(R32:R37)</f>
        <v>0</v>
      </c>
      <c r="T38" s="364">
        <f>SUM(T32:T37)</f>
        <v>0</v>
      </c>
      <c r="W38" s="392">
        <f>SUM(W32:W37)</f>
        <v>0</v>
      </c>
    </row>
    <row r="39" spans="1:28" ht="12.75" customHeight="1" thickBot="1" x14ac:dyDescent="0.25">
      <c r="A39" s="393"/>
      <c r="G39" s="108"/>
      <c r="O39" s="55"/>
      <c r="R39" s="27"/>
    </row>
    <row r="40" spans="1:28" ht="15" customHeight="1" x14ac:dyDescent="0.2">
      <c r="A40" s="915" t="s">
        <v>24</v>
      </c>
      <c r="B40" s="943"/>
      <c r="C40" s="943"/>
      <c r="D40" s="943"/>
      <c r="E40" s="943"/>
      <c r="F40" s="944"/>
      <c r="G40" s="934" t="s">
        <v>53</v>
      </c>
      <c r="H40" s="912" t="s">
        <v>40</v>
      </c>
      <c r="I40" s="879" t="s">
        <v>41</v>
      </c>
      <c r="J40" s="932" t="s">
        <v>170</v>
      </c>
      <c r="K40" s="932" t="s">
        <v>168</v>
      </c>
      <c r="L40" s="968"/>
      <c r="M40" s="885" t="s">
        <v>95</v>
      </c>
      <c r="N40" s="973" t="s">
        <v>320</v>
      </c>
      <c r="O40" s="971" t="s">
        <v>319</v>
      </c>
      <c r="P40" s="964" t="s">
        <v>98</v>
      </c>
      <c r="Q40" s="889" t="s">
        <v>126</v>
      </c>
      <c r="R40" s="889" t="s">
        <v>312</v>
      </c>
    </row>
    <row r="41" spans="1:28" ht="49.5" customHeight="1" thickBot="1" x14ac:dyDescent="0.25">
      <c r="A41" s="945"/>
      <c r="B41" s="946"/>
      <c r="C41" s="946"/>
      <c r="D41" s="946"/>
      <c r="E41" s="946"/>
      <c r="F41" s="947"/>
      <c r="G41" s="935"/>
      <c r="H41" s="914"/>
      <c r="I41" s="881"/>
      <c r="J41" s="933"/>
      <c r="K41" s="967"/>
      <c r="L41" s="969"/>
      <c r="M41" s="887"/>
      <c r="N41" s="974"/>
      <c r="O41" s="972"/>
      <c r="P41" s="966"/>
      <c r="Q41" s="891"/>
      <c r="R41" s="891"/>
    </row>
    <row r="42" spans="1:28" ht="17.25" customHeight="1" x14ac:dyDescent="0.25">
      <c r="A42" s="936" t="s">
        <v>25</v>
      </c>
      <c r="B42" s="937"/>
      <c r="C42" s="325"/>
      <c r="D42" s="325"/>
      <c r="E42" s="39"/>
      <c r="F42" s="41"/>
      <c r="G42" s="327" t="s">
        <v>77</v>
      </c>
      <c r="H42" s="403"/>
      <c r="I42" s="403"/>
      <c r="J42" s="405"/>
      <c r="K42" s="469"/>
      <c r="L42" s="959"/>
      <c r="M42" s="432">
        <v>1</v>
      </c>
      <c r="N42" s="610">
        <v>1.04</v>
      </c>
      <c r="O42" s="613">
        <f>SUM(H42:L42)*N42</f>
        <v>0</v>
      </c>
      <c r="P42" s="598">
        <f>(H42+I42+J42+K42)*M42</f>
        <v>0</v>
      </c>
      <c r="Q42" s="427">
        <f>J42*'Grundlagen GRUD'!F52+'Rindvieh, Schweine, Geflügel'!K42*'Grundlagen GRUD'!G52</f>
        <v>0</v>
      </c>
      <c r="R42" s="427">
        <f>(H42*'Grundlagen GRUD'!C52/AA42)+(I42*'Grundlagen GRUD'!D52/AB42)</f>
        <v>0</v>
      </c>
      <c r="T42" s="395"/>
      <c r="AA42" s="565">
        <v>0.9</v>
      </c>
      <c r="AB42" s="8">
        <v>0.6</v>
      </c>
    </row>
    <row r="43" spans="1:28" ht="17.25" customHeight="1" x14ac:dyDescent="0.25">
      <c r="A43" s="936" t="s">
        <v>65</v>
      </c>
      <c r="B43" s="937"/>
      <c r="C43" s="325"/>
      <c r="D43" s="325"/>
      <c r="E43" s="39"/>
      <c r="F43" s="41"/>
      <c r="G43" s="327" t="s">
        <v>77</v>
      </c>
      <c r="H43" s="403"/>
      <c r="I43" s="403"/>
      <c r="J43" s="404"/>
      <c r="K43" s="470"/>
      <c r="L43" s="960"/>
      <c r="M43" s="352">
        <v>0.4</v>
      </c>
      <c r="N43" s="610">
        <v>0.39</v>
      </c>
      <c r="O43" s="614">
        <f>SUM(H43:L43)*N43</f>
        <v>0</v>
      </c>
      <c r="P43" s="429">
        <f>(H43+I43+J43+K43)*M43</f>
        <v>0</v>
      </c>
      <c r="Q43" s="427">
        <f>J43*'Grundlagen GRUD'!F53+'Rindvieh, Schweine, Geflügel'!K43*'Grundlagen GRUD'!G53</f>
        <v>0</v>
      </c>
      <c r="R43" s="427">
        <f>(H43*'Grundlagen GRUD'!C53/AA43)+(I43*'Grundlagen GRUD'!D53/AB43)</f>
        <v>0</v>
      </c>
      <c r="T43" s="395"/>
      <c r="AA43" s="565">
        <v>0.9</v>
      </c>
      <c r="AB43" s="8">
        <v>0.6</v>
      </c>
    </row>
    <row r="44" spans="1:28" ht="17.25" customHeight="1" x14ac:dyDescent="0.25">
      <c r="A44" s="936" t="s">
        <v>11</v>
      </c>
      <c r="B44" s="937"/>
      <c r="C44" s="325"/>
      <c r="D44" s="325"/>
      <c r="E44" s="39"/>
      <c r="F44" s="41"/>
      <c r="G44" s="327" t="s">
        <v>77</v>
      </c>
      <c r="H44" s="950"/>
      <c r="I44" s="403"/>
      <c r="J44" s="957"/>
      <c r="K44" s="470"/>
      <c r="L44" s="960"/>
      <c r="M44" s="352">
        <v>0.4</v>
      </c>
      <c r="N44" s="610">
        <v>0.36</v>
      </c>
      <c r="O44" s="614">
        <f>SUM(H44:L44)*N44</f>
        <v>0</v>
      </c>
      <c r="P44" s="598">
        <f>(I44+K44)*M44</f>
        <v>0</v>
      </c>
      <c r="Q44" s="427">
        <f>'Rindvieh, Schweine, Geflügel'!K44*'Grundlagen GRUD'!G54</f>
        <v>0</v>
      </c>
      <c r="R44" s="427">
        <f>(I44*'Grundlagen GRUD'!D54/AB44)</f>
        <v>0</v>
      </c>
      <c r="T44" s="395"/>
      <c r="AB44" s="8">
        <v>0.5</v>
      </c>
    </row>
    <row r="45" spans="1:28" ht="17.25" customHeight="1" thickBot="1" x14ac:dyDescent="0.3">
      <c r="A45" s="948" t="s">
        <v>66</v>
      </c>
      <c r="B45" s="949"/>
      <c r="C45" s="346"/>
      <c r="D45" s="346"/>
      <c r="E45" s="70"/>
      <c r="F45" s="396"/>
      <c r="G45" s="397" t="s">
        <v>77</v>
      </c>
      <c r="H45" s="951"/>
      <c r="I45" s="403"/>
      <c r="J45" s="958"/>
      <c r="K45" s="471"/>
      <c r="L45" s="961"/>
      <c r="M45" s="612">
        <v>1.5</v>
      </c>
      <c r="N45" s="610">
        <v>1.67</v>
      </c>
      <c r="O45" s="615">
        <f>SUM(H45:L45)*N45</f>
        <v>0</v>
      </c>
      <c r="P45" s="429">
        <f>(I45+K45)*M45</f>
        <v>0</v>
      </c>
      <c r="Q45" s="427">
        <f>'Rindvieh, Schweine, Geflügel'!K45*'Grundlagen GRUD'!G55</f>
        <v>0</v>
      </c>
      <c r="R45" s="427">
        <f>(I45*'Grundlagen GRUD'!D55/AB45)</f>
        <v>0</v>
      </c>
      <c r="T45" s="395"/>
      <c r="AB45" s="8">
        <v>0.5</v>
      </c>
    </row>
    <row r="46" spans="1:28" ht="17.25" customHeight="1" thickBot="1" x14ac:dyDescent="0.3">
      <c r="A46" s="938" t="s">
        <v>32</v>
      </c>
      <c r="B46" s="939"/>
      <c r="C46" s="939"/>
      <c r="D46" s="939"/>
      <c r="E46" s="939"/>
      <c r="F46" s="308"/>
      <c r="G46" s="182"/>
      <c r="H46" s="394"/>
      <c r="I46" s="394"/>
      <c r="J46" s="398"/>
      <c r="K46" s="398"/>
      <c r="L46" s="394"/>
      <c r="M46" s="595"/>
      <c r="N46" s="595"/>
      <c r="O46" s="623">
        <f>SUM(O42:O45)</f>
        <v>0</v>
      </c>
      <c r="P46" s="431">
        <f>SUM(P42:P45)</f>
        <v>0</v>
      </c>
      <c r="Q46" s="428">
        <f>SUM(Q42:Q45)</f>
        <v>0</v>
      </c>
      <c r="R46" s="428">
        <f>SUM(R42:R45)</f>
        <v>0</v>
      </c>
    </row>
    <row r="47" spans="1:28" ht="15" x14ac:dyDescent="0.25">
      <c r="L47" s="399"/>
    </row>
  </sheetData>
  <sheetProtection password="C917" sheet="1" selectLockedCells="1"/>
  <mergeCells count="86">
    <mergeCell ref="I30:I31"/>
    <mergeCell ref="J30:J31"/>
    <mergeCell ref="G30:G31"/>
    <mergeCell ref="H30:H31"/>
    <mergeCell ref="K30:K31"/>
    <mergeCell ref="L40:L41"/>
    <mergeCell ref="R40:R41"/>
    <mergeCell ref="O30:O31"/>
    <mergeCell ref="M30:M31"/>
    <mergeCell ref="O40:O41"/>
    <mergeCell ref="M40:M41"/>
    <mergeCell ref="Q30:Q31"/>
    <mergeCell ref="P30:P31"/>
    <mergeCell ref="R30:R31"/>
    <mergeCell ref="N40:N41"/>
    <mergeCell ref="H44:H45"/>
    <mergeCell ref="A40:F41"/>
    <mergeCell ref="Q40:Q41"/>
    <mergeCell ref="X7:X9"/>
    <mergeCell ref="H26:K27"/>
    <mergeCell ref="A44:B44"/>
    <mergeCell ref="A36:C36"/>
    <mergeCell ref="A26:D26"/>
    <mergeCell ref="J44:J45"/>
    <mergeCell ref="L42:L45"/>
    <mergeCell ref="A33:C33"/>
    <mergeCell ref="S7:S9"/>
    <mergeCell ref="P7:P9"/>
    <mergeCell ref="P40:P41"/>
    <mergeCell ref="L30:L31"/>
    <mergeCell ref="K40:K41"/>
    <mergeCell ref="A46:E46"/>
    <mergeCell ref="C10:E10"/>
    <mergeCell ref="A37:C37"/>
    <mergeCell ref="A38:D38"/>
    <mergeCell ref="A42:B42"/>
    <mergeCell ref="A43:B43"/>
    <mergeCell ref="A30:F31"/>
    <mergeCell ref="A45:B45"/>
    <mergeCell ref="A24:D24"/>
    <mergeCell ref="A25:D25"/>
    <mergeCell ref="A22:C22"/>
    <mergeCell ref="A34:E34"/>
    <mergeCell ref="A35:C35"/>
    <mergeCell ref="A18:D18"/>
    <mergeCell ref="A20:D20"/>
    <mergeCell ref="A28:E28"/>
    <mergeCell ref="H40:H41"/>
    <mergeCell ref="I40:I41"/>
    <mergeCell ref="J40:J41"/>
    <mergeCell ref="G40:G41"/>
    <mergeCell ref="A32:D32"/>
    <mergeCell ref="A23:C23"/>
    <mergeCell ref="A27:D27"/>
    <mergeCell ref="A16:B16"/>
    <mergeCell ref="A17:E17"/>
    <mergeCell ref="A21:C21"/>
    <mergeCell ref="A10:B10"/>
    <mergeCell ref="H7:H9"/>
    <mergeCell ref="A7:B9"/>
    <mergeCell ref="C9:F9"/>
    <mergeCell ref="G7:G9"/>
    <mergeCell ref="A15:B15"/>
    <mergeCell ref="A14:C14"/>
    <mergeCell ref="D12:E12"/>
    <mergeCell ref="C11:E11"/>
    <mergeCell ref="A13:C13"/>
    <mergeCell ref="M1:R1"/>
    <mergeCell ref="M2:Q2"/>
    <mergeCell ref="A2:L2"/>
    <mergeCell ref="A3:B3"/>
    <mergeCell ref="C3:D3"/>
    <mergeCell ref="Q3:R3"/>
    <mergeCell ref="H3:K3"/>
    <mergeCell ref="F3:G3"/>
    <mergeCell ref="Q4:R4"/>
    <mergeCell ref="J7:J9"/>
    <mergeCell ref="L7:L9"/>
    <mergeCell ref="I7:I9"/>
    <mergeCell ref="M7:M9"/>
    <mergeCell ref="Q5:R5"/>
    <mergeCell ref="Q7:Q9"/>
    <mergeCell ref="R7:R9"/>
    <mergeCell ref="K7:K9"/>
    <mergeCell ref="A5:L6"/>
    <mergeCell ref="O7:O9"/>
  </mergeCells>
  <phoneticPr fontId="0" type="noConversion"/>
  <conditionalFormatting sqref="F10">
    <cfRule type="expression" dxfId="1" priority="1" stopIfTrue="1">
      <formula>IF(AND($P$10&gt;0,$F$10=0),1,0)</formula>
    </cfRule>
  </conditionalFormatting>
  <dataValidations count="3">
    <dataValidation type="whole" allowBlank="1" showInputMessage="1" showErrorMessage="1" errorTitle="Ungültiger Wert" error="Bitte geben Sie eine gültige Anzahl ein." sqref="H32:L37 H10:L16 H24:L25 L27 H18:L22">
      <formula1>0</formula1>
      <formula2>9999</formula2>
    </dataValidation>
    <dataValidation type="custom" allowBlank="1" showInputMessage="1" showErrorMessage="1" errorTitle="Ungültiger Wert" error="Bitte geben Sie eine gültige Anzahl ein." sqref="F10">
      <formula1>IF(M10&gt;0,1,0)</formula1>
    </dataValidation>
    <dataValidation type="decimal" allowBlank="1" showInputMessage="1" showErrorMessage="1" errorTitle="Ungültiger Wert" error="Bitte geben Sie eine gültige Anzahl ein." sqref="H42:K43 I44:I45 K44:K45">
      <formula1>0</formula1>
      <formula2>9999</formula2>
    </dataValidation>
  </dataValidations>
  <printOptions horizontalCentered="1"/>
  <pageMargins left="0.39370078740157483" right="0.39370078740157483" top="0.38" bottom="0.33" header="0.26" footer="0.21"/>
  <pageSetup paperSize="9" scale="64" orientation="portrait" r:id="rId1"/>
  <headerFooter alignWithMargins="0"/>
  <ignoredErrors>
    <ignoredError sqref="O2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indexed="10"/>
    <pageSetUpPr fitToPage="1"/>
  </sheetPr>
  <dimension ref="A1:IV42"/>
  <sheetViews>
    <sheetView showGridLines="0" showZeros="0" zoomScaleNormal="100" workbookViewId="0">
      <selection activeCell="H9" sqref="H9"/>
    </sheetView>
  </sheetViews>
  <sheetFormatPr baseColWidth="10" defaultColWidth="11.42578125" defaultRowHeight="12.75" x14ac:dyDescent="0.2"/>
  <cols>
    <col min="1" max="1" width="6" style="8" customWidth="1"/>
    <col min="2" max="2" width="21.42578125" style="8" customWidth="1"/>
    <col min="3" max="3" width="7.7109375" style="8" customWidth="1"/>
    <col min="4" max="4" width="8.5703125" style="8" customWidth="1"/>
    <col min="5" max="5" width="6.7109375" style="8" customWidth="1"/>
    <col min="6" max="7" width="7.28515625" style="8" customWidth="1"/>
    <col min="8" max="11" width="7.7109375" style="8" customWidth="1"/>
    <col min="12" max="12" width="5.5703125" style="8" customWidth="1"/>
    <col min="13" max="14" width="5.28515625" style="108" customWidth="1"/>
    <col min="15" max="15" width="10.5703125" style="108" customWidth="1"/>
    <col min="16" max="18" width="9.7109375" style="8" customWidth="1"/>
    <col min="19" max="19" width="11.42578125" style="573" hidden="1" customWidth="1"/>
    <col min="20" max="20" width="0" style="8" hidden="1" customWidth="1"/>
    <col min="21" max="16384" width="11.42578125" style="8"/>
  </cols>
  <sheetData>
    <row r="1" spans="1:19" ht="72.75" customHeight="1" thickBot="1" x14ac:dyDescent="0.35">
      <c r="A1" s="266"/>
      <c r="B1" s="213"/>
      <c r="C1" s="30"/>
      <c r="D1" s="30"/>
      <c r="E1" s="30"/>
      <c r="F1" s="30"/>
      <c r="G1" s="30"/>
      <c r="H1" s="30"/>
      <c r="I1" s="30"/>
      <c r="J1" s="213"/>
      <c r="K1" s="214"/>
      <c r="L1" s="214"/>
      <c r="M1" s="897" t="str">
        <f>'Adresse + Ergebnis '!A3</f>
        <v xml:space="preserve">Grundlage: GRUD 2017 </v>
      </c>
      <c r="N1" s="897"/>
      <c r="O1" s="897"/>
      <c r="P1" s="898"/>
      <c r="Q1" s="898"/>
      <c r="R1" s="898"/>
    </row>
    <row r="2" spans="1:19" ht="48.75" customHeight="1" x14ac:dyDescent="0.45">
      <c r="A2" s="900" t="s">
        <v>0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899">
        <f>'Adresse + Ergebnis '!N2</f>
        <v>0</v>
      </c>
      <c r="N2" s="899"/>
      <c r="O2" s="899"/>
      <c r="P2" s="899"/>
      <c r="Q2" s="899"/>
      <c r="R2" s="219" t="s">
        <v>211</v>
      </c>
    </row>
    <row r="3" spans="1:19" s="15" customFormat="1" ht="40.5" customHeight="1" x14ac:dyDescent="0.25">
      <c r="A3" s="25" t="s">
        <v>1</v>
      </c>
      <c r="B3" s="25"/>
      <c r="C3" s="982">
        <f>'Adresse + Ergebnis '!B5</f>
        <v>0</v>
      </c>
      <c r="D3" s="982"/>
      <c r="F3" s="907" t="s">
        <v>114</v>
      </c>
      <c r="G3" s="907"/>
      <c r="H3" s="906" t="str">
        <f>'Rindvieh, Schweine, Geflügel'!H3</f>
        <v xml:space="preserve"> </v>
      </c>
      <c r="I3" s="906"/>
      <c r="J3" s="906"/>
      <c r="K3" s="906"/>
      <c r="M3" s="226" t="s">
        <v>2</v>
      </c>
      <c r="N3" s="226"/>
      <c r="O3" s="226"/>
      <c r="P3" s="25"/>
      <c r="Q3" s="905">
        <f>'Rindvieh, Schweine, Geflügel'!Q3:R3</f>
        <v>0</v>
      </c>
      <c r="R3" s="906"/>
      <c r="S3" s="574"/>
    </row>
    <row r="4" spans="1:19" s="15" customFormat="1" ht="24" customHeight="1" x14ac:dyDescent="0.25">
      <c r="C4" s="23"/>
      <c r="D4" s="23"/>
      <c r="F4" s="223"/>
      <c r="H4" s="23"/>
      <c r="I4" s="107"/>
      <c r="J4" s="23"/>
      <c r="K4" s="107"/>
      <c r="M4" s="25" t="s">
        <v>34</v>
      </c>
      <c r="N4" s="25"/>
      <c r="O4" s="25"/>
      <c r="Q4" s="878">
        <f>'Adresse + Ergebnis '!B11</f>
        <v>0</v>
      </c>
      <c r="R4" s="878"/>
      <c r="S4" s="574"/>
    </row>
    <row r="5" spans="1:19" s="23" customFormat="1" ht="25.15" customHeight="1" x14ac:dyDescent="0.25">
      <c r="B5" s="15"/>
      <c r="D5" s="22"/>
      <c r="F5" s="15"/>
      <c r="I5" s="222"/>
      <c r="J5" s="223"/>
      <c r="K5" s="12"/>
      <c r="M5" s="226" t="s">
        <v>4</v>
      </c>
      <c r="N5" s="226"/>
      <c r="O5" s="226"/>
      <c r="Q5" s="980">
        <f>'Adresse + Ergebnis '!F11</f>
        <v>0</v>
      </c>
      <c r="R5" s="980"/>
      <c r="S5" s="575"/>
    </row>
    <row r="6" spans="1:19" s="15" customFormat="1" ht="25.15" customHeight="1" x14ac:dyDescent="0.45">
      <c r="A6" s="892" t="s">
        <v>33</v>
      </c>
      <c r="B6" s="977"/>
      <c r="C6" s="977"/>
      <c r="D6" s="977"/>
      <c r="E6" s="977"/>
      <c r="F6" s="977"/>
      <c r="G6" s="977"/>
      <c r="H6" s="977"/>
      <c r="I6" s="977"/>
      <c r="J6" s="977"/>
      <c r="K6" s="977"/>
      <c r="L6" s="23"/>
      <c r="P6" s="223"/>
      <c r="S6" s="574"/>
    </row>
    <row r="7" spans="1:19" ht="5.25" customHeight="1" thickBot="1" x14ac:dyDescent="0.25">
      <c r="M7" s="12"/>
      <c r="N7" s="12"/>
      <c r="O7" s="12"/>
      <c r="P7" s="12"/>
      <c r="Q7" s="12"/>
      <c r="R7" s="12"/>
    </row>
    <row r="8" spans="1:19" ht="60.75" customHeight="1" thickBot="1" x14ac:dyDescent="0.45">
      <c r="A8" s="978" t="s">
        <v>6</v>
      </c>
      <c r="B8" s="979"/>
      <c r="C8" s="311"/>
      <c r="D8" s="312"/>
      <c r="E8" s="313"/>
      <c r="F8" s="182" t="s">
        <v>7</v>
      </c>
      <c r="G8" s="314" t="s">
        <v>53</v>
      </c>
      <c r="H8" s="629" t="s">
        <v>193</v>
      </c>
      <c r="I8" s="630" t="s">
        <v>194</v>
      </c>
      <c r="J8" s="265"/>
      <c r="K8" s="983"/>
      <c r="L8" s="984"/>
      <c r="M8" s="342" t="s">
        <v>308</v>
      </c>
      <c r="N8" s="620" t="s">
        <v>327</v>
      </c>
      <c r="O8" s="682" t="s">
        <v>319</v>
      </c>
      <c r="P8" s="316" t="s">
        <v>96</v>
      </c>
      <c r="Q8" s="496" t="s">
        <v>127</v>
      </c>
      <c r="R8" s="589" t="s">
        <v>313</v>
      </c>
    </row>
    <row r="9" spans="1:19" s="25" customFormat="1" ht="15" x14ac:dyDescent="0.25">
      <c r="A9" s="910" t="s">
        <v>74</v>
      </c>
      <c r="B9" s="911"/>
      <c r="C9" s="911"/>
      <c r="D9" s="318"/>
      <c r="E9" s="319"/>
      <c r="F9" s="37"/>
      <c r="G9" s="320" t="s">
        <v>60</v>
      </c>
      <c r="H9" s="410"/>
      <c r="I9" s="526"/>
      <c r="J9" s="321"/>
      <c r="K9" s="321"/>
      <c r="L9" s="321"/>
      <c r="M9" s="344">
        <v>0.7</v>
      </c>
      <c r="N9" s="622">
        <v>0.54</v>
      </c>
      <c r="O9" s="598">
        <f>(H9+I9)*N9</f>
        <v>0</v>
      </c>
      <c r="P9" s="433">
        <f>(H9+I9)*M9</f>
        <v>0</v>
      </c>
      <c r="Q9" s="508"/>
      <c r="R9" s="427">
        <f>(H9*'Grundlagen GRUD'!F33)/S9</f>
        <v>0</v>
      </c>
      <c r="S9" s="576">
        <v>0.8</v>
      </c>
    </row>
    <row r="10" spans="1:19" s="25" customFormat="1" ht="15" x14ac:dyDescent="0.25">
      <c r="A10" s="812" t="s">
        <v>261</v>
      </c>
      <c r="B10" s="813"/>
      <c r="C10" s="813"/>
      <c r="D10" s="325"/>
      <c r="E10" s="326"/>
      <c r="F10" s="39"/>
      <c r="G10" s="327" t="s">
        <v>60</v>
      </c>
      <c r="H10" s="406"/>
      <c r="I10" s="402"/>
      <c r="J10" s="12"/>
      <c r="K10" s="12"/>
      <c r="L10" s="619"/>
      <c r="M10" s="345">
        <v>1</v>
      </c>
      <c r="N10" s="605">
        <v>0.69</v>
      </c>
      <c r="O10" s="598">
        <f>(H10+I10)*N10</f>
        <v>0</v>
      </c>
      <c r="P10" s="433">
        <f>(H10+I10)*M10</f>
        <v>0</v>
      </c>
      <c r="Q10" s="509"/>
      <c r="R10" s="427">
        <f>(H10*'Grundlagen GRUD'!F34)/S10</f>
        <v>0</v>
      </c>
      <c r="S10" s="576">
        <v>0.8</v>
      </c>
    </row>
    <row r="11" spans="1:19" s="25" customFormat="1" ht="15" x14ac:dyDescent="0.25">
      <c r="A11" s="812" t="s">
        <v>267</v>
      </c>
      <c r="B11" s="813"/>
      <c r="C11" s="329"/>
      <c r="D11" s="325"/>
      <c r="E11" s="326"/>
      <c r="F11" s="39"/>
      <c r="G11" s="327" t="s">
        <v>60</v>
      </c>
      <c r="H11" s="406"/>
      <c r="I11" s="402"/>
      <c r="J11" s="12"/>
      <c r="K11" s="12"/>
      <c r="L11" s="619"/>
      <c r="M11" s="345">
        <v>0.5</v>
      </c>
      <c r="N11" s="605">
        <v>0.47</v>
      </c>
      <c r="O11" s="598">
        <f>(H11+I11)*N11</f>
        <v>0</v>
      </c>
      <c r="P11" s="433">
        <f>(H11+I11)*M11</f>
        <v>0</v>
      </c>
      <c r="Q11" s="509"/>
      <c r="R11" s="427">
        <f>(H11*'Grundlagen GRUD'!F35)/S11</f>
        <v>0</v>
      </c>
      <c r="S11" s="576">
        <v>0.8</v>
      </c>
    </row>
    <row r="12" spans="1:19" s="25" customFormat="1" ht="15" x14ac:dyDescent="0.25">
      <c r="A12" s="812" t="s">
        <v>73</v>
      </c>
      <c r="B12" s="813"/>
      <c r="C12" s="329"/>
      <c r="D12" s="325"/>
      <c r="E12" s="326"/>
      <c r="F12" s="39"/>
      <c r="G12" s="327" t="s">
        <v>60</v>
      </c>
      <c r="H12" s="406"/>
      <c r="I12" s="402"/>
      <c r="J12" s="12"/>
      <c r="K12" s="12"/>
      <c r="L12" s="619"/>
      <c r="M12" s="345">
        <v>0.3</v>
      </c>
      <c r="N12" s="605">
        <v>0.19</v>
      </c>
      <c r="O12" s="598">
        <f>(H12+I12)*N12</f>
        <v>0</v>
      </c>
      <c r="P12" s="433">
        <f>(H12+I12)*M12</f>
        <v>0</v>
      </c>
      <c r="Q12" s="509"/>
      <c r="R12" s="427">
        <f>(H12*'Grundlagen GRUD'!F32)/S12</f>
        <v>0</v>
      </c>
      <c r="S12" s="576">
        <v>0.8</v>
      </c>
    </row>
    <row r="13" spans="1:19" s="25" customFormat="1" ht="15.75" thickBot="1" x14ac:dyDescent="0.3">
      <c r="A13" s="812" t="s">
        <v>72</v>
      </c>
      <c r="B13" s="813"/>
      <c r="C13" s="329"/>
      <c r="D13" s="325"/>
      <c r="E13" s="326"/>
      <c r="F13" s="39"/>
      <c r="G13" s="330" t="s">
        <v>60</v>
      </c>
      <c r="H13" s="527"/>
      <c r="I13" s="528"/>
      <c r="J13" s="214"/>
      <c r="K13" s="214"/>
      <c r="L13" s="214"/>
      <c r="M13" s="616">
        <v>0.4</v>
      </c>
      <c r="N13" s="607">
        <v>0.31</v>
      </c>
      <c r="O13" s="598">
        <f>(H13+I13)*N13</f>
        <v>0</v>
      </c>
      <c r="P13" s="433">
        <f>(H13+I13)*M13</f>
        <v>0</v>
      </c>
      <c r="Q13" s="510"/>
      <c r="R13" s="427">
        <f>(H13*'Grundlagen GRUD'!F31)/S13</f>
        <v>0</v>
      </c>
      <c r="S13" s="576">
        <v>0.8</v>
      </c>
    </row>
    <row r="14" spans="1:19" s="24" customFormat="1" ht="15.75" customHeight="1" thickBot="1" x14ac:dyDescent="0.3">
      <c r="A14" s="331" t="s">
        <v>28</v>
      </c>
      <c r="B14" s="332"/>
      <c r="C14" s="333"/>
      <c r="D14" s="333"/>
      <c r="E14" s="334"/>
      <c r="F14" s="334"/>
      <c r="G14" s="334"/>
      <c r="H14" s="334"/>
      <c r="I14" s="334"/>
      <c r="J14" s="334"/>
      <c r="K14" s="334"/>
      <c r="L14" s="334"/>
      <c r="M14" s="594"/>
      <c r="N14" s="621"/>
      <c r="O14" s="600">
        <f>SUM(O9:O13)</f>
        <v>0</v>
      </c>
      <c r="P14" s="424">
        <f>SUM(P9:P13)</f>
        <v>0</v>
      </c>
      <c r="Q14" s="507">
        <f>SUM(Q9:Q13)</f>
        <v>0</v>
      </c>
      <c r="R14" s="428">
        <f>SUM(R9:R13)</f>
        <v>0</v>
      </c>
      <c r="S14" s="577"/>
    </row>
    <row r="15" spans="1:19" s="24" customFormat="1" ht="26.25" customHeight="1" thickBot="1" x14ac:dyDescent="0.3">
      <c r="C15" s="336"/>
      <c r="D15" s="336"/>
      <c r="E15" s="337"/>
      <c r="H15" s="337"/>
      <c r="M15" s="338"/>
      <c r="N15" s="338"/>
      <c r="O15" s="339"/>
      <c r="P15" s="339"/>
      <c r="Q15" s="339"/>
      <c r="R15" s="339"/>
      <c r="S15" s="578"/>
    </row>
    <row r="16" spans="1:19" ht="60.75" customHeight="1" thickBot="1" x14ac:dyDescent="0.45">
      <c r="A16" s="978" t="s">
        <v>90</v>
      </c>
      <c r="B16" s="979"/>
      <c r="C16" s="340"/>
      <c r="D16" s="341"/>
      <c r="E16" s="182"/>
      <c r="F16" s="182"/>
      <c r="G16" s="314" t="s">
        <v>53</v>
      </c>
      <c r="H16" s="629" t="s">
        <v>193</v>
      </c>
      <c r="I16" s="630" t="s">
        <v>194</v>
      </c>
      <c r="J16" s="270"/>
      <c r="K16" s="985"/>
      <c r="L16" s="986"/>
      <c r="M16" s="342" t="s">
        <v>308</v>
      </c>
      <c r="N16" s="620" t="s">
        <v>327</v>
      </c>
      <c r="O16" s="682" t="s">
        <v>319</v>
      </c>
      <c r="P16" s="343" t="s">
        <v>96</v>
      </c>
      <c r="Q16" s="317" t="s">
        <v>127</v>
      </c>
      <c r="R16" s="589" t="s">
        <v>314</v>
      </c>
      <c r="S16" s="573" t="s">
        <v>309</v>
      </c>
    </row>
    <row r="17" spans="1:21" s="25" customFormat="1" ht="15" x14ac:dyDescent="0.25">
      <c r="A17" s="910" t="s">
        <v>262</v>
      </c>
      <c r="B17" s="911"/>
      <c r="C17" s="329"/>
      <c r="D17" s="318"/>
      <c r="E17" s="37"/>
      <c r="F17" s="37"/>
      <c r="G17" s="320" t="s">
        <v>60</v>
      </c>
      <c r="H17" s="403"/>
      <c r="I17" s="403"/>
      <c r="J17" s="321"/>
      <c r="K17" s="321"/>
      <c r="L17" s="497"/>
      <c r="M17" s="344">
        <v>0.25</v>
      </c>
      <c r="N17" s="622">
        <v>0.22</v>
      </c>
      <c r="O17" s="613">
        <f>(H17+I17)*N17</f>
        <v>0</v>
      </c>
      <c r="P17" s="429">
        <f>(H17+I17)*M17</f>
        <v>0</v>
      </c>
      <c r="Q17" s="511"/>
      <c r="R17" s="427">
        <f>H17*'Grundlagen GRUD'!F39/S17</f>
        <v>0</v>
      </c>
      <c r="S17" s="576">
        <v>0.8</v>
      </c>
    </row>
    <row r="18" spans="1:21" s="25" customFormat="1" ht="15" x14ac:dyDescent="0.25">
      <c r="A18" s="812" t="s">
        <v>263</v>
      </c>
      <c r="B18" s="813"/>
      <c r="C18" s="329"/>
      <c r="D18" s="329"/>
      <c r="E18" s="39"/>
      <c r="F18" s="39"/>
      <c r="G18" s="327" t="s">
        <v>60</v>
      </c>
      <c r="H18" s="403"/>
      <c r="I18" s="403"/>
      <c r="J18" s="12"/>
      <c r="K18" s="12"/>
      <c r="L18" s="499"/>
      <c r="M18" s="345">
        <v>0.17</v>
      </c>
      <c r="N18" s="605">
        <v>0.15</v>
      </c>
      <c r="O18" s="687">
        <f>(H18+I18)*N18</f>
        <v>0</v>
      </c>
      <c r="P18" s="429">
        <f>(H18+I18)*M18</f>
        <v>0</v>
      </c>
      <c r="Q18" s="509"/>
      <c r="R18" s="427">
        <f>H18*'Grundlagen GRUD'!F38/S18</f>
        <v>0</v>
      </c>
      <c r="S18" s="576">
        <v>0.8</v>
      </c>
      <c r="U18" s="430">
        <f>(M18+P18)*T18</f>
        <v>0</v>
      </c>
    </row>
    <row r="19" spans="1:21" s="25" customFormat="1" ht="15.75" thickBot="1" x14ac:dyDescent="0.3">
      <c r="A19" s="991" t="s">
        <v>78</v>
      </c>
      <c r="B19" s="902"/>
      <c r="C19" s="346"/>
      <c r="D19" s="347"/>
      <c r="E19" s="39"/>
      <c r="F19" s="39"/>
      <c r="G19" s="330" t="s">
        <v>59</v>
      </c>
      <c r="H19" s="403"/>
      <c r="I19" s="403"/>
      <c r="J19" s="214"/>
      <c r="K19" s="214"/>
      <c r="L19" s="498"/>
      <c r="M19" s="345">
        <v>0.03</v>
      </c>
      <c r="N19" s="607">
        <v>0.02</v>
      </c>
      <c r="O19" s="688">
        <f>(H19+I19)*N19</f>
        <v>0</v>
      </c>
      <c r="P19" s="429">
        <f>(H19+I19)*M19</f>
        <v>0</v>
      </c>
      <c r="Q19" s="512"/>
      <c r="R19" s="427">
        <f>H19*'Grundlagen GRUD'!F41/S19</f>
        <v>0</v>
      </c>
      <c r="S19" s="576">
        <v>0.8</v>
      </c>
    </row>
    <row r="20" spans="1:21" s="24" customFormat="1" ht="15.75" customHeight="1" thickBot="1" x14ac:dyDescent="0.3">
      <c r="A20" s="331" t="s">
        <v>29</v>
      </c>
      <c r="B20" s="332"/>
      <c r="C20" s="333"/>
      <c r="D20" s="333"/>
      <c r="E20" s="334"/>
      <c r="F20" s="334"/>
      <c r="G20" s="334"/>
      <c r="H20" s="334"/>
      <c r="I20" s="334"/>
      <c r="J20" s="334"/>
      <c r="K20" s="334"/>
      <c r="L20" s="334"/>
      <c r="M20" s="595"/>
      <c r="N20" s="621"/>
      <c r="O20" s="623">
        <f>SUM(O17:O19)</f>
        <v>0</v>
      </c>
      <c r="P20" s="431">
        <f>SUM(P17:P19)</f>
        <v>0</v>
      </c>
      <c r="Q20" s="335">
        <f>SUM(Q17:Q19)</f>
        <v>0</v>
      </c>
      <c r="R20" s="428">
        <f>SUM(R17:R19)</f>
        <v>0</v>
      </c>
      <c r="S20" s="577"/>
    </row>
    <row r="21" spans="1:21" s="25" customFormat="1" ht="26.25" customHeight="1" thickBot="1" x14ac:dyDescent="0.3">
      <c r="B21" s="336"/>
      <c r="C21" s="348"/>
      <c r="D21" s="348"/>
      <c r="H21" s="349"/>
      <c r="L21" s="8"/>
      <c r="M21" s="350"/>
      <c r="N21" s="350"/>
      <c r="O21" s="683"/>
      <c r="P21" s="351"/>
      <c r="Q21" s="351"/>
      <c r="R21" s="351"/>
      <c r="S21" s="579"/>
    </row>
    <row r="22" spans="1:21" ht="60.75" customHeight="1" thickBot="1" x14ac:dyDescent="0.45">
      <c r="A22" s="978" t="s">
        <v>23</v>
      </c>
      <c r="B22" s="979"/>
      <c r="C22" s="340"/>
      <c r="D22" s="341"/>
      <c r="E22" s="182"/>
      <c r="F22" s="182"/>
      <c r="G22" s="314" t="s">
        <v>53</v>
      </c>
      <c r="H22" s="629" t="s">
        <v>193</v>
      </c>
      <c r="I22" s="630" t="s">
        <v>194</v>
      </c>
      <c r="J22" s="270"/>
      <c r="K22" s="985"/>
      <c r="L22" s="986"/>
      <c r="M22" s="342" t="s">
        <v>308</v>
      </c>
      <c r="N22" s="620" t="s">
        <v>327</v>
      </c>
      <c r="O22" s="682" t="s">
        <v>319</v>
      </c>
      <c r="P22" s="316" t="s">
        <v>96</v>
      </c>
      <c r="Q22" s="317" t="s">
        <v>127</v>
      </c>
      <c r="R22" s="589" t="s">
        <v>313</v>
      </c>
      <c r="S22" s="573" t="s">
        <v>309</v>
      </c>
    </row>
    <row r="23" spans="1:21" s="25" customFormat="1" ht="15" x14ac:dyDescent="0.25">
      <c r="A23" s="989" t="s">
        <v>264</v>
      </c>
      <c r="B23" s="990"/>
      <c r="C23" s="318"/>
      <c r="D23" s="990"/>
      <c r="E23" s="990"/>
      <c r="F23" s="37"/>
      <c r="G23" s="320" t="s">
        <v>60</v>
      </c>
      <c r="H23" s="403"/>
      <c r="I23" s="403"/>
      <c r="J23" s="65"/>
      <c r="K23" s="65"/>
      <c r="L23" s="504"/>
      <c r="M23" s="344">
        <v>0.2</v>
      </c>
      <c r="N23" s="686">
        <v>0.19</v>
      </c>
      <c r="O23" s="598">
        <f>(H23+I23)*N23</f>
        <v>0</v>
      </c>
      <c r="P23" s="433">
        <f>(H23+I23)*M23</f>
        <v>0</v>
      </c>
      <c r="Q23" s="508"/>
      <c r="R23" s="427">
        <f>H23*'Grundlagen GRUD'!F37/S23</f>
        <v>0</v>
      </c>
      <c r="S23" s="576">
        <v>0.8</v>
      </c>
    </row>
    <row r="24" spans="1:21" s="25" customFormat="1" ht="15" x14ac:dyDescent="0.25">
      <c r="A24" s="812" t="s">
        <v>265</v>
      </c>
      <c r="B24" s="813"/>
      <c r="C24" s="325"/>
      <c r="D24" s="329"/>
      <c r="E24" s="39"/>
      <c r="F24" s="39"/>
      <c r="G24" s="330" t="s">
        <v>60</v>
      </c>
      <c r="H24" s="403"/>
      <c r="I24" s="403"/>
      <c r="L24" s="505"/>
      <c r="M24" s="352">
        <v>0.17</v>
      </c>
      <c r="N24" s="610">
        <v>0.16</v>
      </c>
      <c r="O24" s="598">
        <f>(H24+I24)*N24</f>
        <v>0</v>
      </c>
      <c r="P24" s="433">
        <f>(H24+I24)*M24</f>
        <v>0</v>
      </c>
      <c r="Q24" s="512"/>
      <c r="R24" s="427">
        <f>H24*'Grundlagen GRUD'!F40/S24</f>
        <v>0</v>
      </c>
      <c r="S24" s="576">
        <v>0.8</v>
      </c>
    </row>
    <row r="25" spans="1:21" s="25" customFormat="1" ht="15.75" thickBot="1" x14ac:dyDescent="0.3">
      <c r="A25" s="941" t="s">
        <v>195</v>
      </c>
      <c r="B25" s="942"/>
      <c r="C25" s="329"/>
      <c r="D25" s="347"/>
      <c r="E25" s="39"/>
      <c r="F25" s="39"/>
      <c r="G25" s="330" t="s">
        <v>59</v>
      </c>
      <c r="H25" s="403"/>
      <c r="I25" s="403"/>
      <c r="J25" s="94"/>
      <c r="K25" s="94"/>
      <c r="L25" s="506"/>
      <c r="M25" s="352">
        <v>0.03</v>
      </c>
      <c r="N25" s="624">
        <v>0.02</v>
      </c>
      <c r="O25" s="598">
        <f>(H25+I25)*N25</f>
        <v>0</v>
      </c>
      <c r="P25" s="433">
        <f>(H25+I25)*M25</f>
        <v>0</v>
      </c>
      <c r="Q25" s="512"/>
      <c r="R25" s="427">
        <f>H25*'Grundlagen GRUD'!F41/S25</f>
        <v>0</v>
      </c>
      <c r="S25" s="576">
        <v>0.8</v>
      </c>
    </row>
    <row r="26" spans="1:21" s="24" customFormat="1" ht="15.75" customHeight="1" thickBot="1" x14ac:dyDescent="0.3">
      <c r="A26" s="331" t="s">
        <v>30</v>
      </c>
      <c r="B26" s="332"/>
      <c r="C26" s="333"/>
      <c r="D26" s="333"/>
      <c r="E26" s="334"/>
      <c r="F26" s="334"/>
      <c r="G26" s="334"/>
      <c r="H26" s="334"/>
      <c r="I26" s="334"/>
      <c r="J26" s="334"/>
      <c r="K26" s="334"/>
      <c r="L26" s="334"/>
      <c r="M26" s="595"/>
      <c r="N26" s="595"/>
      <c r="O26" s="623">
        <f>SUM(O23:O25)</f>
        <v>0</v>
      </c>
      <c r="P26" s="424">
        <f>SUM(P23:P25)</f>
        <v>0</v>
      </c>
      <c r="Q26" s="335">
        <f>SUM(Q23:Q25)</f>
        <v>0</v>
      </c>
      <c r="R26" s="428">
        <f>SUM(R23:R25)</f>
        <v>0</v>
      </c>
      <c r="S26" s="578"/>
    </row>
    <row r="27" spans="1:21" s="24" customFormat="1" ht="27" customHeight="1" thickBot="1" x14ac:dyDescent="0.3">
      <c r="A27" s="353"/>
      <c r="B27" s="353"/>
      <c r="C27" s="336"/>
      <c r="D27" s="336"/>
      <c r="E27" s="337"/>
      <c r="F27" s="337"/>
      <c r="G27" s="337"/>
      <c r="H27" s="337"/>
      <c r="I27" s="337"/>
      <c r="J27" s="337"/>
      <c r="K27" s="337"/>
      <c r="L27" s="337"/>
      <c r="M27" s="354"/>
      <c r="N27" s="354"/>
      <c r="O27" s="684"/>
      <c r="P27" s="355"/>
      <c r="Q27" s="355"/>
      <c r="R27" s="355"/>
      <c r="S27" s="578"/>
    </row>
    <row r="28" spans="1:21" ht="60.75" customHeight="1" thickBot="1" x14ac:dyDescent="0.45">
      <c r="A28" s="978" t="s">
        <v>26</v>
      </c>
      <c r="B28" s="979"/>
      <c r="C28" s="340"/>
      <c r="D28" s="341"/>
      <c r="E28" s="182"/>
      <c r="F28" s="182"/>
      <c r="G28" s="314" t="s">
        <v>53</v>
      </c>
      <c r="H28" s="315" t="s">
        <v>193</v>
      </c>
      <c r="I28" s="356" t="s">
        <v>194</v>
      </c>
      <c r="J28" s="987"/>
      <c r="K28" s="984"/>
      <c r="L28" s="988"/>
      <c r="M28" s="342" t="s">
        <v>308</v>
      </c>
      <c r="N28" s="620" t="s">
        <v>327</v>
      </c>
      <c r="O28" s="682" t="s">
        <v>319</v>
      </c>
      <c r="P28" s="343" t="s">
        <v>96</v>
      </c>
      <c r="Q28" s="317" t="s">
        <v>127</v>
      </c>
      <c r="R28" s="589" t="s">
        <v>313</v>
      </c>
    </row>
    <row r="29" spans="1:21" s="25" customFormat="1" ht="15" x14ac:dyDescent="0.25">
      <c r="A29" s="812" t="s">
        <v>185</v>
      </c>
      <c r="B29" s="813"/>
      <c r="C29" s="1007"/>
      <c r="D29" s="1007"/>
      <c r="E29" s="1007"/>
      <c r="F29" s="37"/>
      <c r="G29" s="327" t="s">
        <v>77</v>
      </c>
      <c r="H29" s="403"/>
      <c r="I29" s="469"/>
      <c r="J29" s="321"/>
      <c r="K29" s="994"/>
      <c r="L29" s="995"/>
      <c r="M29" s="344">
        <v>3.4</v>
      </c>
      <c r="N29" s="625">
        <v>3.38</v>
      </c>
      <c r="O29" s="613">
        <f>(H29+I29)*N29</f>
        <v>0</v>
      </c>
      <c r="P29" s="429">
        <f>(H29+I29)*M29</f>
        <v>0</v>
      </c>
      <c r="Q29" s="323">
        <f>I29*'Grundlagen GRUD'!G68</f>
        <v>0</v>
      </c>
      <c r="R29" s="427">
        <f>H29*'Grundlagen GRUD'!F68/S29</f>
        <v>0</v>
      </c>
      <c r="S29" s="576">
        <v>0.8</v>
      </c>
    </row>
    <row r="30" spans="1:21" s="25" customFormat="1" ht="15.75" thickBot="1" x14ac:dyDescent="0.3">
      <c r="A30" s="1008" t="s">
        <v>186</v>
      </c>
      <c r="B30" s="1009"/>
      <c r="C30" s="1010"/>
      <c r="D30" s="1010"/>
      <c r="E30" s="1010"/>
      <c r="F30" s="39"/>
      <c r="G30" s="327" t="s">
        <v>77</v>
      </c>
      <c r="H30" s="403"/>
      <c r="I30" s="411"/>
      <c r="K30" s="898"/>
      <c r="L30" s="996"/>
      <c r="M30" s="345">
        <v>1.1000000000000001</v>
      </c>
      <c r="N30" s="626">
        <v>1.06</v>
      </c>
      <c r="O30" s="688">
        <f>(H30+I30)*N30</f>
        <v>0</v>
      </c>
      <c r="P30" s="429">
        <f>(H30+I30)*M30</f>
        <v>0</v>
      </c>
      <c r="Q30" s="324">
        <f>I30*'Grundlagen GRUD'!G69</f>
        <v>0</v>
      </c>
      <c r="R30" s="427">
        <f>H30*'Grundlagen GRUD'!F69/S30</f>
        <v>0</v>
      </c>
      <c r="S30" s="576">
        <v>0.8</v>
      </c>
    </row>
    <row r="31" spans="1:21" s="24" customFormat="1" ht="15.75" customHeight="1" thickBot="1" x14ac:dyDescent="0.3">
      <c r="A31" s="331" t="s">
        <v>192</v>
      </c>
      <c r="B31" s="332"/>
      <c r="C31" s="333"/>
      <c r="D31" s="333"/>
      <c r="E31" s="334"/>
      <c r="F31" s="334"/>
      <c r="G31" s="334"/>
      <c r="H31" s="334"/>
      <c r="I31" s="334"/>
      <c r="J31" s="334"/>
      <c r="K31" s="334"/>
      <c r="L31" s="334"/>
      <c r="M31" s="595"/>
      <c r="N31" s="628"/>
      <c r="O31" s="623">
        <f>SUM(O29:O30)</f>
        <v>0</v>
      </c>
      <c r="P31" s="431">
        <f>SUM(P29:P30)</f>
        <v>0</v>
      </c>
      <c r="Q31" s="335">
        <f>SUM(Q29:Q30)</f>
        <v>0</v>
      </c>
      <c r="R31" s="428">
        <f>SUM(R29:R30)</f>
        <v>0</v>
      </c>
      <c r="S31" s="577"/>
    </row>
    <row r="32" spans="1:21" ht="27" customHeight="1" thickBot="1" x14ac:dyDescent="0.25">
      <c r="O32" s="55"/>
    </row>
    <row r="33" spans="1:256" ht="61.5" customHeight="1" thickBot="1" x14ac:dyDescent="0.45">
      <c r="A33" s="978" t="s">
        <v>184</v>
      </c>
      <c r="B33" s="979"/>
      <c r="C33" s="979"/>
      <c r="D33" s="979"/>
      <c r="E33" s="979"/>
      <c r="F33" s="1006"/>
      <c r="G33" s="314" t="s">
        <v>53</v>
      </c>
      <c r="H33" s="629" t="s">
        <v>193</v>
      </c>
      <c r="I33" s="357"/>
      <c r="J33" s="997"/>
      <c r="K33" s="998"/>
      <c r="L33" s="999"/>
      <c r="M33" s="342" t="s">
        <v>308</v>
      </c>
      <c r="N33" s="601" t="s">
        <v>327</v>
      </c>
      <c r="O33" s="682" t="s">
        <v>319</v>
      </c>
      <c r="P33" s="343" t="s">
        <v>96</v>
      </c>
      <c r="Q33" s="317"/>
      <c r="R33" s="589" t="s">
        <v>313</v>
      </c>
    </row>
    <row r="34" spans="1:256" s="90" customFormat="1" ht="15" customHeight="1" x14ac:dyDescent="0.25">
      <c r="A34" s="910" t="s">
        <v>84</v>
      </c>
      <c r="B34" s="911"/>
      <c r="C34" s="329"/>
      <c r="D34" s="329"/>
      <c r="E34" s="37"/>
      <c r="F34" s="37"/>
      <c r="G34" s="320" t="s">
        <v>60</v>
      </c>
      <c r="H34" s="403"/>
      <c r="I34" s="358"/>
      <c r="J34" s="321"/>
      <c r="K34" s="1000"/>
      <c r="L34" s="1001"/>
      <c r="M34" s="344">
        <v>0.8</v>
      </c>
      <c r="N34" s="625">
        <v>0.71</v>
      </c>
      <c r="O34" s="613">
        <f t="shared" ref="O34:O41" si="0">(H34+I34)*N34</f>
        <v>0</v>
      </c>
      <c r="P34" s="429">
        <f>(H34+L34)*M34</f>
        <v>0</v>
      </c>
      <c r="Q34" s="359"/>
      <c r="R34" s="427">
        <f>H34*'Grundlagen GRUD'!F57/S34</f>
        <v>0</v>
      </c>
      <c r="S34" s="579">
        <v>0.8</v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1:256" s="25" customFormat="1" ht="15" x14ac:dyDescent="0.25">
      <c r="A35" s="812" t="s">
        <v>85</v>
      </c>
      <c r="B35" s="813"/>
      <c r="C35" s="329"/>
      <c r="D35" s="329"/>
      <c r="E35" s="39"/>
      <c r="F35" s="39"/>
      <c r="G35" s="327" t="s">
        <v>60</v>
      </c>
      <c r="H35" s="403"/>
      <c r="I35" s="328"/>
      <c r="J35" s="12"/>
      <c r="K35" s="1002"/>
      <c r="L35" s="1003"/>
      <c r="M35" s="345">
        <v>0.4</v>
      </c>
      <c r="N35" s="627">
        <v>0.24</v>
      </c>
      <c r="O35" s="687">
        <f t="shared" si="0"/>
        <v>0</v>
      </c>
      <c r="P35" s="429">
        <f>(H35+L35)*M35</f>
        <v>0</v>
      </c>
      <c r="Q35" s="360"/>
      <c r="R35" s="427">
        <f>H35*'Grundlagen GRUD'!F58/S35</f>
        <v>0</v>
      </c>
      <c r="S35" s="579">
        <v>0.8</v>
      </c>
    </row>
    <row r="36" spans="1:256" s="25" customFormat="1" ht="15" x14ac:dyDescent="0.25">
      <c r="A36" s="812" t="s">
        <v>86</v>
      </c>
      <c r="B36" s="813"/>
      <c r="C36" s="329"/>
      <c r="D36" s="329"/>
      <c r="E36" s="39"/>
      <c r="F36" s="39"/>
      <c r="G36" s="327" t="s">
        <v>60</v>
      </c>
      <c r="H36" s="403"/>
      <c r="I36" s="328"/>
      <c r="J36" s="12"/>
      <c r="K36" s="1002"/>
      <c r="L36" s="1003"/>
      <c r="M36" s="345">
        <v>0.1</v>
      </c>
      <c r="N36" s="627">
        <v>0.1</v>
      </c>
      <c r="O36" s="687">
        <f t="shared" si="0"/>
        <v>0</v>
      </c>
      <c r="P36" s="429">
        <f t="shared" ref="P36:P41" si="1">(H36+L36)*M36</f>
        <v>0</v>
      </c>
      <c r="Q36" s="360"/>
      <c r="R36" s="427">
        <f>H36*'Grundlagen GRUD'!F59/S36</f>
        <v>0</v>
      </c>
      <c r="S36" s="579">
        <v>0.8</v>
      </c>
    </row>
    <row r="37" spans="1:256" s="25" customFormat="1" ht="15" x14ac:dyDescent="0.25">
      <c r="A37" s="812" t="s">
        <v>79</v>
      </c>
      <c r="B37" s="813"/>
      <c r="C37" s="329"/>
      <c r="D37" s="329"/>
      <c r="E37" s="39"/>
      <c r="F37" s="39"/>
      <c r="G37" s="327" t="s">
        <v>60</v>
      </c>
      <c r="H37" s="403"/>
      <c r="I37" s="328"/>
      <c r="J37" s="12"/>
      <c r="K37" s="1002"/>
      <c r="L37" s="1003"/>
      <c r="M37" s="345">
        <v>0.2</v>
      </c>
      <c r="N37" s="627">
        <v>0.2</v>
      </c>
      <c r="O37" s="687">
        <f t="shared" si="0"/>
        <v>0</v>
      </c>
      <c r="P37" s="429">
        <f t="shared" si="1"/>
        <v>0</v>
      </c>
      <c r="Q37" s="360"/>
      <c r="R37" s="427">
        <f>H37*'Grundlagen GRUD'!F60/S37</f>
        <v>0</v>
      </c>
      <c r="S37" s="579">
        <v>0.8</v>
      </c>
    </row>
    <row r="38" spans="1:256" s="25" customFormat="1" ht="15" x14ac:dyDescent="0.25">
      <c r="A38" s="812" t="s">
        <v>80</v>
      </c>
      <c r="B38" s="813"/>
      <c r="C38" s="329"/>
      <c r="D38" s="329"/>
      <c r="E38" s="39"/>
      <c r="F38" s="39"/>
      <c r="G38" s="327" t="s">
        <v>60</v>
      </c>
      <c r="H38" s="403"/>
      <c r="I38" s="328"/>
      <c r="J38" s="12"/>
      <c r="K38" s="1002"/>
      <c r="L38" s="1003"/>
      <c r="M38" s="345">
        <v>0.17</v>
      </c>
      <c r="N38" s="627">
        <v>0.17</v>
      </c>
      <c r="O38" s="687">
        <f t="shared" si="0"/>
        <v>0</v>
      </c>
      <c r="P38" s="429">
        <f t="shared" si="1"/>
        <v>0</v>
      </c>
      <c r="Q38" s="360"/>
      <c r="R38" s="427">
        <f>H38*'Grundlagen GRUD'!F61/S38</f>
        <v>0</v>
      </c>
      <c r="S38" s="579">
        <v>0.8</v>
      </c>
    </row>
    <row r="39" spans="1:256" s="25" customFormat="1" ht="15" x14ac:dyDescent="0.25">
      <c r="A39" s="812" t="s">
        <v>81</v>
      </c>
      <c r="B39" s="813"/>
      <c r="C39" s="329"/>
      <c r="D39" s="329"/>
      <c r="E39" s="39"/>
      <c r="F39" s="39"/>
      <c r="G39" s="327" t="s">
        <v>60</v>
      </c>
      <c r="H39" s="403"/>
      <c r="I39" s="328"/>
      <c r="J39" s="12"/>
      <c r="K39" s="1002"/>
      <c r="L39" s="1003"/>
      <c r="M39" s="345">
        <v>0.11</v>
      </c>
      <c r="N39" s="627">
        <v>0.11</v>
      </c>
      <c r="O39" s="687">
        <f t="shared" si="0"/>
        <v>0</v>
      </c>
      <c r="P39" s="429">
        <f t="shared" si="1"/>
        <v>0</v>
      </c>
      <c r="Q39" s="360"/>
      <c r="R39" s="427">
        <f>H39*'Grundlagen GRUD'!F62/S39</f>
        <v>0</v>
      </c>
      <c r="S39" s="579">
        <v>0.8</v>
      </c>
    </row>
    <row r="40" spans="1:256" s="25" customFormat="1" ht="15" x14ac:dyDescent="0.25">
      <c r="A40" s="812" t="s">
        <v>82</v>
      </c>
      <c r="B40" s="813"/>
      <c r="C40" s="329"/>
      <c r="D40" s="329"/>
      <c r="E40" s="39"/>
      <c r="F40" s="39"/>
      <c r="G40" s="327" t="s">
        <v>60</v>
      </c>
      <c r="H40" s="403"/>
      <c r="I40" s="328"/>
      <c r="J40" s="12"/>
      <c r="K40" s="1002"/>
      <c r="L40" s="1003"/>
      <c r="M40" s="345">
        <v>0.11</v>
      </c>
      <c r="N40" s="627">
        <v>0.11</v>
      </c>
      <c r="O40" s="687">
        <f t="shared" si="0"/>
        <v>0</v>
      </c>
      <c r="P40" s="429">
        <f t="shared" si="1"/>
        <v>0</v>
      </c>
      <c r="Q40" s="360"/>
      <c r="R40" s="427">
        <f>H40*'Grundlagen GRUD'!F63/S40</f>
        <v>0</v>
      </c>
      <c r="S40" s="579">
        <v>0.8</v>
      </c>
    </row>
    <row r="41" spans="1:256" s="25" customFormat="1" ht="15.75" thickBot="1" x14ac:dyDescent="0.3">
      <c r="A41" s="991" t="s">
        <v>83</v>
      </c>
      <c r="B41" s="902"/>
      <c r="C41" s="348"/>
      <c r="D41" s="348"/>
      <c r="E41" s="70"/>
      <c r="F41" s="70"/>
      <c r="G41" s="330" t="s">
        <v>60</v>
      </c>
      <c r="H41" s="403"/>
      <c r="I41" s="328"/>
      <c r="J41" s="12"/>
      <c r="K41" s="1004"/>
      <c r="L41" s="1005"/>
      <c r="M41" s="361">
        <v>7.0000000000000007E-2</v>
      </c>
      <c r="N41" s="626">
        <v>7.0000000000000007E-2</v>
      </c>
      <c r="O41" s="688">
        <f t="shared" si="0"/>
        <v>0</v>
      </c>
      <c r="P41" s="429">
        <f t="shared" si="1"/>
        <v>0</v>
      </c>
      <c r="Q41" s="360"/>
      <c r="R41" s="427">
        <f>H41*'Grundlagen GRUD'!F64/S41</f>
        <v>0</v>
      </c>
      <c r="S41" s="579">
        <v>0.8</v>
      </c>
    </row>
    <row r="42" spans="1:256" s="24" customFormat="1" ht="15.75" customHeight="1" thickBot="1" x14ac:dyDescent="0.3">
      <c r="A42" s="992" t="s">
        <v>273</v>
      </c>
      <c r="B42" s="993"/>
      <c r="C42" s="993"/>
      <c r="D42" s="984"/>
      <c r="E42" s="984"/>
      <c r="F42" s="984"/>
      <c r="G42" s="984"/>
      <c r="H42" s="984"/>
      <c r="I42" s="308"/>
      <c r="J42" s="308"/>
      <c r="K42" s="308"/>
      <c r="L42" s="308"/>
      <c r="M42" s="391"/>
      <c r="N42" s="599"/>
      <c r="O42" s="623">
        <f>SUM(O34:O41)</f>
        <v>0</v>
      </c>
      <c r="P42" s="431">
        <f>SUM(P34:P41)</f>
        <v>0</v>
      </c>
      <c r="Q42" s="335">
        <f>SUM(Q34:Q41)</f>
        <v>0</v>
      </c>
      <c r="R42" s="428">
        <f>SUM(R34:R41)</f>
        <v>0</v>
      </c>
      <c r="S42" s="577"/>
    </row>
  </sheetData>
  <sheetProtection password="C917" sheet="1" selectLockedCells="1"/>
  <mergeCells count="45">
    <mergeCell ref="A42:H42"/>
    <mergeCell ref="K29:L30"/>
    <mergeCell ref="J33:L33"/>
    <mergeCell ref="K34:L41"/>
    <mergeCell ref="A39:B39"/>
    <mergeCell ref="A40:B40"/>
    <mergeCell ref="A34:B34"/>
    <mergeCell ref="A33:F33"/>
    <mergeCell ref="A37:B37"/>
    <mergeCell ref="A41:B41"/>
    <mergeCell ref="A29:E29"/>
    <mergeCell ref="A30:E30"/>
    <mergeCell ref="A35:B35"/>
    <mergeCell ref="A36:B36"/>
    <mergeCell ref="A38:B38"/>
    <mergeCell ref="K16:L16"/>
    <mergeCell ref="J28:L28"/>
    <mergeCell ref="K22:L22"/>
    <mergeCell ref="A23:B23"/>
    <mergeCell ref="A24:B24"/>
    <mergeCell ref="D23:E23"/>
    <mergeCell ref="A28:B28"/>
    <mergeCell ref="A25:B25"/>
    <mergeCell ref="A18:B18"/>
    <mergeCell ref="A19:B19"/>
    <mergeCell ref="A16:B16"/>
    <mergeCell ref="A22:B22"/>
    <mergeCell ref="A17:B17"/>
    <mergeCell ref="A11:B11"/>
    <mergeCell ref="A12:B12"/>
    <mergeCell ref="A13:B13"/>
    <mergeCell ref="Q4:R4"/>
    <mergeCell ref="A9:C9"/>
    <mergeCell ref="A10:C10"/>
    <mergeCell ref="K8:L8"/>
    <mergeCell ref="M1:R1"/>
    <mergeCell ref="A6:K6"/>
    <mergeCell ref="A8:B8"/>
    <mergeCell ref="M2:Q2"/>
    <mergeCell ref="Q5:R5"/>
    <mergeCell ref="A2:L2"/>
    <mergeCell ref="C3:D3"/>
    <mergeCell ref="H3:K3"/>
    <mergeCell ref="Q3:R3"/>
    <mergeCell ref="F3:G3"/>
  </mergeCells>
  <phoneticPr fontId="0" type="noConversion"/>
  <dataValidations count="2">
    <dataValidation type="whole" allowBlank="1" showInputMessage="1" showErrorMessage="1" errorTitle="Ungültiger Wert" error="Bitte geben Sie eine gültige Anzahl ein." sqref="H9:I13 H17:I19 H23:I25 H34:H41">
      <formula1>0</formula1>
      <formula2>9999</formula2>
    </dataValidation>
    <dataValidation type="decimal" allowBlank="1" showInputMessage="1" showErrorMessage="1" errorTitle="Ungültiger Wert" error="Bitte geben Sie eine gültige Anzahl ein." sqref="H29:I30">
      <formula1>0</formula1>
      <formula2>9999</formula2>
    </dataValidation>
  </dataValidations>
  <printOptions horizontalCentered="1"/>
  <pageMargins left="0.39370078740157483" right="0.39370078740157483" top="0.47244094488188981" bottom="0.61" header="0.31496062992125984" footer="0.31496062992125984"/>
  <pageSetup paperSize="9" scale="6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37"/>
  <sheetViews>
    <sheetView showGridLines="0" zoomScaleNormal="100" workbookViewId="0">
      <selection activeCell="B9" sqref="B9"/>
    </sheetView>
  </sheetViews>
  <sheetFormatPr baseColWidth="10" defaultColWidth="11.42578125" defaultRowHeight="12.75" x14ac:dyDescent="0.2"/>
  <cols>
    <col min="1" max="1" width="1.5703125" style="8" customWidth="1"/>
    <col min="2" max="2" width="18.42578125" style="8" customWidth="1"/>
    <col min="3" max="3" width="12.5703125" style="8" customWidth="1"/>
    <col min="4" max="5" width="9.28515625" style="8" customWidth="1"/>
    <col min="6" max="6" width="13" style="8" customWidth="1"/>
    <col min="7" max="7" width="8.5703125" style="8" customWidth="1"/>
    <col min="8" max="8" width="8.42578125" style="8" customWidth="1"/>
    <col min="9" max="11" width="8.5703125" style="8" customWidth="1"/>
    <col min="12" max="12" width="0.140625" style="108" customWidth="1"/>
    <col min="13" max="13" width="15.5703125" style="8" customWidth="1"/>
    <col min="14" max="14" width="9.28515625" style="8" customWidth="1"/>
    <col min="15" max="15" width="11.140625" style="8" customWidth="1"/>
    <col min="16" max="16" width="13.7109375" style="104" customWidth="1"/>
    <col min="17" max="19" width="11.42578125" style="104" hidden="1" customWidth="1"/>
    <col min="20" max="20" width="13.140625" style="104" hidden="1" customWidth="1"/>
    <col min="21" max="23" width="11.42578125" style="104" hidden="1" customWidth="1"/>
    <col min="24" max="24" width="11.42578125" style="104" customWidth="1"/>
    <col min="25" max="16384" width="11.42578125" style="8"/>
  </cols>
  <sheetData>
    <row r="1" spans="1:26" ht="72" customHeight="1" thickBot="1" x14ac:dyDescent="0.35">
      <c r="A1" s="266"/>
      <c r="B1" s="213"/>
      <c r="C1" s="30"/>
      <c r="D1" s="30"/>
      <c r="E1" s="30"/>
      <c r="F1" s="30"/>
      <c r="G1" s="30"/>
      <c r="H1" s="30"/>
      <c r="I1" s="213"/>
      <c r="J1" s="747"/>
      <c r="K1" s="747"/>
      <c r="L1" s="746" t="str">
        <f>'Adresse + Ergebnis '!A3</f>
        <v xml:space="preserve">Grundlage: GRUD 2017 </v>
      </c>
      <c r="M1" s="30"/>
      <c r="N1" s="30"/>
      <c r="O1" s="30"/>
    </row>
    <row r="2" spans="1:26" ht="41.25" customHeight="1" x14ac:dyDescent="0.45">
      <c r="B2" s="749" t="s">
        <v>0</v>
      </c>
      <c r="C2" s="217"/>
      <c r="D2" s="217"/>
      <c r="E2" s="217"/>
      <c r="F2" s="217"/>
      <c r="G2" s="217"/>
      <c r="H2" s="217"/>
      <c r="I2" s="217"/>
      <c r="J2" s="217"/>
      <c r="K2" s="217"/>
      <c r="L2" s="1051">
        <f>'Adresse + Ergebnis '!N2</f>
        <v>0</v>
      </c>
      <c r="M2" s="1051"/>
      <c r="N2" s="218"/>
      <c r="O2" s="748" t="s">
        <v>212</v>
      </c>
    </row>
    <row r="3" spans="1:26" s="15" customFormat="1" ht="39" customHeight="1" x14ac:dyDescent="0.25">
      <c r="B3" s="25" t="s">
        <v>1</v>
      </c>
      <c r="C3" s="1052">
        <f>'Adresse + Ergebnis '!B5</f>
        <v>0</v>
      </c>
      <c r="D3" s="1052"/>
      <c r="F3" s="1053" t="s">
        <v>375</v>
      </c>
      <c r="G3" s="1054"/>
      <c r="H3" s="906" t="str">
        <f>'Diverse Tiere'!H3:K3</f>
        <v xml:space="preserve"> </v>
      </c>
      <c r="I3" s="906"/>
      <c r="J3" s="906"/>
      <c r="K3" s="906"/>
      <c r="L3" s="226" t="s">
        <v>2</v>
      </c>
      <c r="N3" s="1050">
        <f>'Diverse Tiere'!Q3</f>
        <v>0</v>
      </c>
      <c r="O3" s="1050"/>
      <c r="P3" s="221"/>
      <c r="Q3" s="221"/>
      <c r="R3" s="221"/>
      <c r="S3" s="221"/>
      <c r="T3" s="221"/>
      <c r="U3" s="221"/>
      <c r="V3" s="221"/>
      <c r="W3" s="221"/>
      <c r="X3" s="221"/>
    </row>
    <row r="4" spans="1:26" s="23" customFormat="1" ht="20.25" customHeight="1" x14ac:dyDescent="0.25">
      <c r="B4" s="15"/>
      <c r="D4" s="22"/>
      <c r="H4" s="222"/>
      <c r="I4" s="223"/>
      <c r="J4" s="751"/>
      <c r="L4" s="224" t="s">
        <v>34</v>
      </c>
      <c r="N4" s="1050">
        <f>'Diverse Tiere'!Q4</f>
        <v>0</v>
      </c>
      <c r="O4" s="1050"/>
      <c r="P4" s="225"/>
      <c r="Q4" s="225"/>
      <c r="R4" s="225"/>
      <c r="S4" s="225"/>
      <c r="T4" s="225"/>
      <c r="U4" s="225"/>
      <c r="V4" s="225"/>
      <c r="W4" s="225"/>
      <c r="X4" s="225"/>
    </row>
    <row r="5" spans="1:26" s="23" customFormat="1" ht="20.25" customHeight="1" x14ac:dyDescent="0.25">
      <c r="B5" s="15"/>
      <c r="D5" s="22"/>
      <c r="H5" s="222"/>
      <c r="I5" s="223"/>
      <c r="J5" s="751"/>
      <c r="K5" s="773"/>
      <c r="L5" s="226" t="s">
        <v>4</v>
      </c>
      <c r="N5" s="1048">
        <f>'Diverse Tiere'!Q5</f>
        <v>0</v>
      </c>
      <c r="O5" s="1048"/>
      <c r="P5" s="225"/>
      <c r="Q5" s="225"/>
      <c r="R5" s="225"/>
      <c r="S5" s="225"/>
      <c r="T5" s="225"/>
      <c r="U5" s="225"/>
      <c r="V5" s="225"/>
      <c r="W5" s="225"/>
      <c r="X5" s="225"/>
    </row>
    <row r="6" spans="1:26" s="15" customFormat="1" ht="25.5" customHeight="1" x14ac:dyDescent="0.45">
      <c r="B6" s="750" t="s">
        <v>376</v>
      </c>
      <c r="C6" s="267"/>
      <c r="D6" s="267"/>
      <c r="E6" s="267"/>
      <c r="F6" s="267"/>
      <c r="G6" s="267"/>
      <c r="H6" s="267"/>
      <c r="I6" s="267"/>
      <c r="J6" s="22"/>
      <c r="K6" s="23"/>
      <c r="M6" s="751"/>
      <c r="N6" s="1049"/>
      <c r="O6" s="1049"/>
      <c r="P6" s="221"/>
      <c r="Q6" s="221"/>
      <c r="R6" s="221"/>
      <c r="S6" s="221"/>
      <c r="T6" s="221"/>
      <c r="U6" s="221"/>
      <c r="V6" s="221"/>
      <c r="W6" s="221"/>
      <c r="X6" s="221"/>
    </row>
    <row r="7" spans="1:26" ht="2.25" customHeight="1" thickBot="1" x14ac:dyDescent="0.25">
      <c r="A7" s="736"/>
      <c r="B7" s="736"/>
      <c r="C7" s="736"/>
      <c r="D7" s="736"/>
      <c r="E7" s="736"/>
      <c r="F7" s="736"/>
      <c r="G7" s="736"/>
      <c r="H7" s="736"/>
      <c r="I7" s="736"/>
      <c r="J7" s="736"/>
      <c r="K7" s="736"/>
      <c r="L7" s="737"/>
      <c r="M7" s="736"/>
      <c r="N7" s="736"/>
      <c r="O7" s="736"/>
    </row>
    <row r="8" spans="1:26" ht="78.75" customHeight="1" thickBot="1" x14ac:dyDescent="0.45">
      <c r="B8" s="268" t="s">
        <v>348</v>
      </c>
      <c r="C8" s="762" t="s">
        <v>349</v>
      </c>
      <c r="D8" s="762" t="s">
        <v>350</v>
      </c>
      <c r="E8" s="762" t="s">
        <v>351</v>
      </c>
      <c r="F8" s="762" t="s">
        <v>352</v>
      </c>
      <c r="G8" s="763" t="s">
        <v>353</v>
      </c>
      <c r="H8" s="763" t="s">
        <v>354</v>
      </c>
      <c r="I8" s="762"/>
      <c r="J8" s="762" t="s">
        <v>355</v>
      </c>
      <c r="K8" s="763" t="s">
        <v>354</v>
      </c>
      <c r="L8" s="752"/>
      <c r="M8" s="232" t="s">
        <v>356</v>
      </c>
      <c r="N8" s="1035" t="s">
        <v>363</v>
      </c>
      <c r="O8" s="1035"/>
    </row>
    <row r="9" spans="1:26" s="25" customFormat="1" ht="17.25" customHeight="1" x14ac:dyDescent="0.2">
      <c r="B9" s="775" t="s">
        <v>379</v>
      </c>
      <c r="C9" s="776"/>
      <c r="D9" s="777"/>
      <c r="E9" s="778" t="s">
        <v>358</v>
      </c>
      <c r="F9" s="779"/>
      <c r="G9" s="780"/>
      <c r="H9" s="779"/>
      <c r="I9" s="770" t="s">
        <v>357</v>
      </c>
      <c r="J9" s="785"/>
      <c r="K9" s="786"/>
      <c r="L9" s="738"/>
      <c r="M9" s="758">
        <f>IF(ISBLANK(J9),F9*G9*H9,(J9/2)^2*PI()*K9)</f>
        <v>0</v>
      </c>
      <c r="N9" s="1036">
        <f t="shared" ref="N9:N15" si="0">IF(ISBLANK(J9),F9*G9*(H9-0.1),(J9/2)^2*PI()*(K9-0.1))</f>
        <v>0</v>
      </c>
      <c r="O9" s="1037"/>
      <c r="P9" s="83"/>
      <c r="Q9" s="83"/>
      <c r="R9" s="83"/>
      <c r="S9" s="83"/>
      <c r="T9" s="83"/>
      <c r="U9" s="83"/>
      <c r="V9" s="83"/>
      <c r="W9" s="83"/>
      <c r="X9" s="83"/>
    </row>
    <row r="10" spans="1:26" s="25" customFormat="1" ht="16.5" customHeight="1" x14ac:dyDescent="0.2">
      <c r="B10" s="775"/>
      <c r="C10" s="781"/>
      <c r="D10" s="781"/>
      <c r="E10" s="782" t="s">
        <v>358</v>
      </c>
      <c r="F10" s="777"/>
      <c r="G10" s="781"/>
      <c r="H10" s="781"/>
      <c r="I10" s="771" t="s">
        <v>357</v>
      </c>
      <c r="J10" s="787"/>
      <c r="K10" s="787"/>
      <c r="L10" s="738"/>
      <c r="M10" s="758">
        <f t="shared" ref="M10:M14" si="1">IF(ISBLANK(J10),F10*G10*H10,(J10/2)^2*PI()*K10)</f>
        <v>0</v>
      </c>
      <c r="N10" s="1011">
        <f t="shared" si="0"/>
        <v>0</v>
      </c>
      <c r="O10" s="1012"/>
      <c r="P10" s="83"/>
      <c r="Q10" s="83"/>
      <c r="R10" s="83"/>
      <c r="S10" s="83"/>
      <c r="T10" s="83"/>
      <c r="U10" s="83"/>
      <c r="V10" s="83"/>
      <c r="W10" s="83"/>
      <c r="X10" s="83"/>
    </row>
    <row r="11" spans="1:26" s="25" customFormat="1" ht="17.25" customHeight="1" x14ac:dyDescent="0.2">
      <c r="B11" s="775"/>
      <c r="C11" s="783"/>
      <c r="D11" s="781"/>
      <c r="E11" s="782" t="s">
        <v>358</v>
      </c>
      <c r="F11" s="781"/>
      <c r="G11" s="781"/>
      <c r="H11" s="781"/>
      <c r="I11" s="771" t="s">
        <v>357</v>
      </c>
      <c r="J11" s="787"/>
      <c r="K11" s="787"/>
      <c r="L11" s="738"/>
      <c r="M11" s="758">
        <f t="shared" si="1"/>
        <v>0</v>
      </c>
      <c r="N11" s="1011">
        <f t="shared" si="0"/>
        <v>0</v>
      </c>
      <c r="O11" s="1012"/>
      <c r="P11" s="83"/>
      <c r="Q11" s="83"/>
      <c r="R11" s="83"/>
      <c r="S11" s="83"/>
      <c r="T11" s="83"/>
      <c r="U11" s="83"/>
      <c r="V11" s="83"/>
      <c r="W11" s="83"/>
      <c r="X11" s="83"/>
    </row>
    <row r="12" spans="1:26" s="25" customFormat="1" ht="17.25" customHeight="1" x14ac:dyDescent="0.2">
      <c r="B12" s="775"/>
      <c r="C12" s="781"/>
      <c r="D12" s="781"/>
      <c r="E12" s="782" t="s">
        <v>358</v>
      </c>
      <c r="F12" s="781"/>
      <c r="G12" s="781"/>
      <c r="H12" s="781"/>
      <c r="I12" s="771" t="s">
        <v>357</v>
      </c>
      <c r="J12" s="787"/>
      <c r="K12" s="788"/>
      <c r="L12" s="739"/>
      <c r="M12" s="758">
        <f>IF(ISBLANK(J12),F12*G12*H12,(J12/2)^2*PI()*K12)</f>
        <v>0</v>
      </c>
      <c r="N12" s="1011">
        <f t="shared" si="0"/>
        <v>0</v>
      </c>
      <c r="O12" s="1012"/>
      <c r="P12" s="83"/>
      <c r="Q12" s="83"/>
      <c r="R12" s="83"/>
      <c r="S12" s="83"/>
      <c r="T12" s="83"/>
      <c r="U12" s="83"/>
      <c r="V12" s="83"/>
      <c r="W12" s="83"/>
      <c r="X12" s="83"/>
    </row>
    <row r="13" spans="1:26" s="25" customFormat="1" ht="17.25" customHeight="1" x14ac:dyDescent="0.2">
      <c r="B13" s="775"/>
      <c r="C13" s="781"/>
      <c r="D13" s="781"/>
      <c r="E13" s="782" t="s">
        <v>358</v>
      </c>
      <c r="F13" s="781"/>
      <c r="G13" s="781"/>
      <c r="H13" s="781"/>
      <c r="I13" s="771" t="s">
        <v>357</v>
      </c>
      <c r="J13" s="787"/>
      <c r="K13" s="787"/>
      <c r="L13" s="738"/>
      <c r="M13" s="758">
        <f t="shared" si="1"/>
        <v>0</v>
      </c>
      <c r="N13" s="1011">
        <f t="shared" si="0"/>
        <v>0</v>
      </c>
      <c r="O13" s="1012"/>
      <c r="P13" s="83"/>
      <c r="Q13" s="83"/>
      <c r="R13" s="83"/>
      <c r="S13" s="83" t="b">
        <v>1</v>
      </c>
      <c r="T13" s="83"/>
      <c r="U13" s="83"/>
      <c r="V13" s="83"/>
      <c r="W13" s="83"/>
      <c r="X13" s="83"/>
    </row>
    <row r="14" spans="1:26" s="25" customFormat="1" ht="17.25" customHeight="1" x14ac:dyDescent="0.2">
      <c r="B14" s="784"/>
      <c r="C14" s="781"/>
      <c r="D14" s="781"/>
      <c r="E14" s="782" t="s">
        <v>358</v>
      </c>
      <c r="F14" s="781"/>
      <c r="G14" s="781"/>
      <c r="H14" s="781"/>
      <c r="I14" s="771" t="s">
        <v>357</v>
      </c>
      <c r="J14" s="787"/>
      <c r="K14" s="787"/>
      <c r="L14" s="738"/>
      <c r="M14" s="758">
        <f t="shared" si="1"/>
        <v>0</v>
      </c>
      <c r="N14" s="1011">
        <f t="shared" si="0"/>
        <v>0</v>
      </c>
      <c r="O14" s="1012"/>
      <c r="P14" s="83"/>
      <c r="Q14" s="83"/>
      <c r="R14" s="83"/>
      <c r="S14" s="83"/>
      <c r="T14" s="83"/>
      <c r="U14" s="83"/>
      <c r="V14" s="83"/>
      <c r="W14" s="83"/>
      <c r="X14" s="83"/>
      <c r="Z14" s="772"/>
    </row>
    <row r="15" spans="1:26" s="25" customFormat="1" ht="17.25" customHeight="1" x14ac:dyDescent="0.2">
      <c r="B15" s="784"/>
      <c r="C15" s="781"/>
      <c r="D15" s="781"/>
      <c r="E15" s="782" t="s">
        <v>358</v>
      </c>
      <c r="F15" s="781"/>
      <c r="G15" s="781"/>
      <c r="H15" s="781"/>
      <c r="I15" s="771" t="s">
        <v>357</v>
      </c>
      <c r="J15" s="787"/>
      <c r="K15" s="787"/>
      <c r="L15" s="738"/>
      <c r="M15" s="758">
        <f>IF(ISBLANK(J15),F15*G15*H15,(J15/2)^2*PI()*K15)</f>
        <v>0</v>
      </c>
      <c r="N15" s="1011">
        <f t="shared" si="0"/>
        <v>0</v>
      </c>
      <c r="O15" s="1012"/>
      <c r="P15" s="83"/>
      <c r="Q15" s="83"/>
      <c r="R15" s="83"/>
      <c r="S15" s="83"/>
      <c r="T15" s="83"/>
      <c r="U15" s="83"/>
      <c r="V15" s="83"/>
      <c r="W15" s="83"/>
      <c r="X15" s="83"/>
    </row>
    <row r="16" spans="1:26" s="25" customFormat="1" ht="17.25" customHeight="1" x14ac:dyDescent="0.2">
      <c r="B16" s="1019" t="s">
        <v>365</v>
      </c>
      <c r="C16" s="1020"/>
      <c r="D16" s="1020"/>
      <c r="E16" s="1020"/>
      <c r="F16" s="1020"/>
      <c r="G16" s="1020"/>
      <c r="H16" s="1020"/>
      <c r="I16" s="1020"/>
      <c r="J16" s="1020"/>
      <c r="K16" s="1020"/>
      <c r="L16" s="1020"/>
      <c r="M16" s="1021"/>
      <c r="N16" s="1025"/>
      <c r="O16" s="1026"/>
      <c r="P16" s="83"/>
      <c r="Q16" s="83"/>
      <c r="R16" s="83"/>
      <c r="S16" s="83"/>
      <c r="T16" s="83"/>
      <c r="U16" s="83"/>
      <c r="V16" s="83"/>
      <c r="W16" s="83"/>
      <c r="X16" s="83"/>
    </row>
    <row r="17" spans="2:24" s="25" customFormat="1" ht="16.5" customHeight="1" thickBot="1" x14ac:dyDescent="0.25">
      <c r="B17" s="1022" t="s">
        <v>364</v>
      </c>
      <c r="C17" s="1023"/>
      <c r="D17" s="1023"/>
      <c r="E17" s="1023"/>
      <c r="F17" s="1023"/>
      <c r="G17" s="1023"/>
      <c r="H17" s="1023"/>
      <c r="I17" s="1023"/>
      <c r="J17" s="1023"/>
      <c r="K17" s="1023"/>
      <c r="L17" s="1023"/>
      <c r="M17" s="1024"/>
      <c r="N17" s="1027"/>
      <c r="O17" s="1028"/>
      <c r="P17" s="83"/>
      <c r="Q17" s="83"/>
      <c r="R17" s="83"/>
      <c r="S17" s="83"/>
      <c r="T17" s="83"/>
      <c r="U17" s="83"/>
      <c r="V17" s="83"/>
      <c r="W17" s="83"/>
      <c r="X17" s="83"/>
    </row>
    <row r="18" spans="2:24" s="25" customFormat="1" ht="27" customHeight="1" thickBot="1" x14ac:dyDescent="0.25">
      <c r="B18" s="753"/>
      <c r="C18" s="8"/>
      <c r="D18" s="8"/>
      <c r="E18" s="8"/>
      <c r="F18" s="8"/>
      <c r="G18" s="8"/>
      <c r="H18" s="8"/>
      <c r="I18" s="8"/>
      <c r="J18" s="8"/>
      <c r="K18" s="751"/>
      <c r="L18" s="108"/>
      <c r="M18" s="291"/>
      <c r="N18" s="291"/>
      <c r="O18" s="291"/>
      <c r="P18" s="83"/>
      <c r="Q18" s="83"/>
      <c r="R18" s="83"/>
      <c r="S18" s="83"/>
      <c r="T18" s="83"/>
      <c r="U18" s="83"/>
      <c r="V18" s="83"/>
      <c r="W18" s="83"/>
      <c r="X18" s="83"/>
    </row>
    <row r="19" spans="2:24" s="25" customFormat="1" ht="60" customHeight="1" thickBot="1" x14ac:dyDescent="0.45">
      <c r="B19" s="1038" t="s">
        <v>359</v>
      </c>
      <c r="C19" s="1039"/>
      <c r="D19" s="1039"/>
      <c r="E19" s="1040"/>
      <c r="F19" s="762" t="s">
        <v>349</v>
      </c>
      <c r="G19" s="762" t="s">
        <v>350</v>
      </c>
      <c r="H19" s="762" t="s">
        <v>360</v>
      </c>
      <c r="I19" s="762" t="s">
        <v>352</v>
      </c>
      <c r="J19" s="763" t="s">
        <v>353</v>
      </c>
      <c r="K19" s="763" t="s">
        <v>354</v>
      </c>
      <c r="L19" s="752"/>
      <c r="M19" s="232" t="s">
        <v>356</v>
      </c>
      <c r="N19" s="1035" t="s">
        <v>363</v>
      </c>
      <c r="O19" s="1035"/>
      <c r="P19" s="83"/>
      <c r="Q19" s="83"/>
      <c r="R19" s="83"/>
      <c r="S19" s="83" t="b">
        <v>1</v>
      </c>
      <c r="T19" s="83" t="b">
        <v>0</v>
      </c>
      <c r="U19" s="83" t="b">
        <f>IF(AND(S19=TRUE,T19=TRUE),TRUE,FALSE)</f>
        <v>0</v>
      </c>
      <c r="V19" s="83"/>
      <c r="W19" s="83"/>
      <c r="X19" s="83"/>
    </row>
    <row r="20" spans="2:24" s="25" customFormat="1" ht="17.25" customHeight="1" x14ac:dyDescent="0.2">
      <c r="B20" s="1041" t="s">
        <v>380</v>
      </c>
      <c r="C20" s="1042"/>
      <c r="D20" s="1042"/>
      <c r="E20" s="1043"/>
      <c r="F20" s="799"/>
      <c r="G20" s="785"/>
      <c r="H20" s="778"/>
      <c r="I20" s="779"/>
      <c r="J20" s="780"/>
      <c r="K20" s="779"/>
      <c r="L20" s="738"/>
      <c r="M20" s="758">
        <f>I20*J20*K20*H20</f>
        <v>0</v>
      </c>
      <c r="N20" s="1036">
        <f>I20*J20*H20*(K20-0.1)</f>
        <v>0</v>
      </c>
      <c r="O20" s="1037"/>
      <c r="P20" s="83"/>
      <c r="Q20" s="83"/>
      <c r="R20" s="83"/>
      <c r="S20" s="83" t="b">
        <v>1</v>
      </c>
      <c r="T20" s="83" t="b">
        <v>1</v>
      </c>
      <c r="U20" s="83" t="b">
        <f>IF(AND(S20=TRUE,T20=TRUE),TRUE,FALSE)</f>
        <v>1</v>
      </c>
      <c r="V20" s="83"/>
      <c r="W20" s="83"/>
      <c r="X20" s="83"/>
    </row>
    <row r="21" spans="2:24" s="25" customFormat="1" ht="17.25" customHeight="1" x14ac:dyDescent="0.2">
      <c r="B21" s="1013"/>
      <c r="C21" s="1014"/>
      <c r="D21" s="1014"/>
      <c r="E21" s="1015"/>
      <c r="F21" s="803"/>
      <c r="G21" s="787"/>
      <c r="H21" s="782"/>
      <c r="I21" s="777"/>
      <c r="J21" s="781"/>
      <c r="K21" s="781"/>
      <c r="L21" s="738"/>
      <c r="M21" s="758">
        <f t="shared" ref="M21:M25" si="2">I21*J21*K21*H21</f>
        <v>0</v>
      </c>
      <c r="N21" s="1011">
        <f t="shared" ref="N21:N26" si="3">I21*J21*H21*(K21-0.1)</f>
        <v>0</v>
      </c>
      <c r="O21" s="1012"/>
      <c r="P21" s="83"/>
      <c r="Q21" s="83"/>
      <c r="R21" s="83"/>
      <c r="S21" s="83" t="b">
        <v>1</v>
      </c>
      <c r="T21" s="83" t="b">
        <v>1</v>
      </c>
      <c r="U21" s="83" t="b">
        <f>IF(AND(S21=TRUE,T21=TRUE),TRUE,FALSE)</f>
        <v>1</v>
      </c>
      <c r="V21" s="83"/>
      <c r="W21" s="83"/>
      <c r="X21" s="83"/>
    </row>
    <row r="22" spans="2:24" s="25" customFormat="1" ht="16.5" customHeight="1" x14ac:dyDescent="0.2">
      <c r="B22" s="1013"/>
      <c r="C22" s="1014"/>
      <c r="D22" s="1014"/>
      <c r="E22" s="1015"/>
      <c r="F22" s="787"/>
      <c r="G22" s="787"/>
      <c r="H22" s="782"/>
      <c r="I22" s="781"/>
      <c r="J22" s="781"/>
      <c r="K22" s="781"/>
      <c r="L22" s="738"/>
      <c r="M22" s="758">
        <f t="shared" si="2"/>
        <v>0</v>
      </c>
      <c r="N22" s="1011">
        <f t="shared" si="3"/>
        <v>0</v>
      </c>
      <c r="O22" s="1012"/>
      <c r="P22" s="83"/>
      <c r="Q22" s="83"/>
      <c r="R22" s="83"/>
      <c r="S22" s="83"/>
      <c r="T22" s="83"/>
      <c r="U22" s="83"/>
      <c r="V22" s="83"/>
      <c r="W22" s="83"/>
      <c r="X22" s="83"/>
    </row>
    <row r="23" spans="2:24" s="25" customFormat="1" ht="17.25" customHeight="1" x14ac:dyDescent="0.2">
      <c r="B23" s="1013"/>
      <c r="C23" s="1014"/>
      <c r="D23" s="1014"/>
      <c r="E23" s="1015"/>
      <c r="F23" s="787"/>
      <c r="G23" s="787"/>
      <c r="H23" s="782"/>
      <c r="I23" s="781"/>
      <c r="J23" s="781"/>
      <c r="K23" s="781"/>
      <c r="L23" s="739"/>
      <c r="M23" s="758">
        <f t="shared" si="2"/>
        <v>0</v>
      </c>
      <c r="N23" s="1011">
        <f t="shared" si="3"/>
        <v>0</v>
      </c>
      <c r="O23" s="1012"/>
      <c r="P23" s="83"/>
      <c r="Q23" s="83"/>
      <c r="R23" s="83"/>
      <c r="S23" s="83" t="b">
        <v>1</v>
      </c>
      <c r="T23" s="83" t="b">
        <v>1</v>
      </c>
      <c r="U23" s="83"/>
      <c r="V23" s="83"/>
      <c r="W23" s="83"/>
      <c r="X23" s="83"/>
    </row>
    <row r="24" spans="2:24" s="25" customFormat="1" ht="17.25" customHeight="1" x14ac:dyDescent="0.2">
      <c r="B24" s="1013"/>
      <c r="C24" s="1014"/>
      <c r="D24" s="1014"/>
      <c r="E24" s="1015"/>
      <c r="F24" s="787"/>
      <c r="G24" s="787"/>
      <c r="H24" s="782"/>
      <c r="I24" s="781"/>
      <c r="J24" s="781"/>
      <c r="K24" s="781"/>
      <c r="L24" s="738"/>
      <c r="M24" s="758">
        <f t="shared" si="2"/>
        <v>0</v>
      </c>
      <c r="N24" s="1011">
        <f t="shared" si="3"/>
        <v>0</v>
      </c>
      <c r="O24" s="1012"/>
      <c r="P24" s="83"/>
      <c r="Q24" s="83"/>
      <c r="R24" s="83"/>
      <c r="S24" s="83"/>
      <c r="T24" s="83"/>
      <c r="U24" s="83"/>
      <c r="V24" s="83"/>
      <c r="W24" s="83"/>
      <c r="X24" s="83"/>
    </row>
    <row r="25" spans="2:24" s="15" customFormat="1" ht="17.25" customHeight="1" x14ac:dyDescent="0.2">
      <c r="B25" s="1013"/>
      <c r="C25" s="1014"/>
      <c r="D25" s="1014"/>
      <c r="E25" s="1015"/>
      <c r="F25" s="800"/>
      <c r="G25" s="800"/>
      <c r="H25" s="790"/>
      <c r="I25" s="789"/>
      <c r="J25" s="789"/>
      <c r="K25" s="789"/>
      <c r="L25" s="740"/>
      <c r="M25" s="758">
        <f t="shared" si="2"/>
        <v>0</v>
      </c>
      <c r="N25" s="1011">
        <f t="shared" si="3"/>
        <v>0</v>
      </c>
      <c r="O25" s="1012"/>
      <c r="P25" s="221"/>
      <c r="Q25" s="221"/>
      <c r="R25" s="221"/>
      <c r="S25" s="221"/>
      <c r="T25" s="221"/>
      <c r="U25" s="221"/>
      <c r="V25" s="221"/>
      <c r="W25" s="221"/>
      <c r="X25" s="221"/>
    </row>
    <row r="26" spans="2:24" ht="16.5" customHeight="1" thickBot="1" x14ac:dyDescent="0.25">
      <c r="B26" s="1016"/>
      <c r="C26" s="1017"/>
      <c r="D26" s="1017"/>
      <c r="E26" s="1018"/>
      <c r="F26" s="801"/>
      <c r="G26" s="802"/>
      <c r="H26" s="793"/>
      <c r="I26" s="792"/>
      <c r="J26" s="792"/>
      <c r="K26" s="791"/>
      <c r="L26" s="741"/>
      <c r="M26" s="798">
        <f>I26*J26*K26*H26</f>
        <v>0</v>
      </c>
      <c r="N26" s="1046">
        <f t="shared" si="3"/>
        <v>0</v>
      </c>
      <c r="O26" s="1047"/>
    </row>
    <row r="27" spans="2:24" ht="27" customHeight="1" thickBot="1" x14ac:dyDescent="0.25">
      <c r="L27" s="8"/>
    </row>
    <row r="28" spans="2:24" ht="66" customHeight="1" thickBot="1" x14ac:dyDescent="0.45">
      <c r="B28" s="760" t="s">
        <v>361</v>
      </c>
      <c r="C28" s="761"/>
      <c r="D28" s="761"/>
      <c r="E28" s="761"/>
      <c r="F28" s="761"/>
      <c r="G28" s="761"/>
      <c r="H28" s="762" t="s">
        <v>351</v>
      </c>
      <c r="I28" s="762" t="s">
        <v>352</v>
      </c>
      <c r="J28" s="763" t="s">
        <v>353</v>
      </c>
      <c r="K28" s="763" t="s">
        <v>377</v>
      </c>
      <c r="L28" s="752"/>
      <c r="M28" s="232" t="s">
        <v>373</v>
      </c>
      <c r="N28" s="1035" t="s">
        <v>362</v>
      </c>
      <c r="O28" s="1035"/>
    </row>
    <row r="29" spans="2:24" ht="16.5" customHeight="1" x14ac:dyDescent="0.2">
      <c r="B29" s="1032" t="s">
        <v>382</v>
      </c>
      <c r="C29" s="1033"/>
      <c r="D29" s="1033"/>
      <c r="E29" s="1033"/>
      <c r="F29" s="1033"/>
      <c r="G29" s="1034"/>
      <c r="H29" s="795" t="s">
        <v>371</v>
      </c>
      <c r="I29" s="779"/>
      <c r="J29" s="780"/>
      <c r="K29" s="779">
        <v>1.5</v>
      </c>
      <c r="L29" s="738"/>
      <c r="M29" s="758">
        <f>IF(H29="nein",I29*J29,0)</f>
        <v>0</v>
      </c>
      <c r="N29" s="1044">
        <f>K29*I29*J29</f>
        <v>0</v>
      </c>
      <c r="O29" s="1045"/>
    </row>
    <row r="30" spans="2:24" ht="16.5" customHeight="1" x14ac:dyDescent="0.2">
      <c r="B30" s="1029"/>
      <c r="C30" s="1030"/>
      <c r="D30" s="1030"/>
      <c r="E30" s="1030"/>
      <c r="F30" s="1030"/>
      <c r="G30" s="1031"/>
      <c r="H30" s="796" t="s">
        <v>371</v>
      </c>
      <c r="I30" s="777"/>
      <c r="J30" s="781"/>
      <c r="K30" s="781">
        <v>1.5</v>
      </c>
      <c r="L30" s="738"/>
      <c r="M30" s="758">
        <f t="shared" ref="M30:M32" si="4">IF(H30="nein",I30*J30,0)</f>
        <v>0</v>
      </c>
      <c r="N30" s="1011">
        <f t="shared" ref="N30:N32" si="5">K30*I30*J30</f>
        <v>0</v>
      </c>
      <c r="O30" s="1012"/>
    </row>
    <row r="31" spans="2:24" ht="16.5" customHeight="1" x14ac:dyDescent="0.2">
      <c r="B31" s="1057"/>
      <c r="C31" s="1058"/>
      <c r="D31" s="1058"/>
      <c r="E31" s="1058"/>
      <c r="F31" s="1058"/>
      <c r="G31" s="1059"/>
      <c r="H31" s="796" t="s">
        <v>371</v>
      </c>
      <c r="I31" s="777"/>
      <c r="J31" s="781"/>
      <c r="K31" s="781">
        <v>1.5</v>
      </c>
      <c r="L31" s="738"/>
      <c r="M31" s="758">
        <f t="shared" si="4"/>
        <v>0</v>
      </c>
      <c r="N31" s="1011">
        <f t="shared" si="5"/>
        <v>0</v>
      </c>
      <c r="O31" s="1012"/>
    </row>
    <row r="32" spans="2:24" ht="16.5" customHeight="1" x14ac:dyDescent="0.2">
      <c r="B32" s="1057"/>
      <c r="C32" s="1058"/>
      <c r="D32" s="1058"/>
      <c r="E32" s="1058"/>
      <c r="F32" s="1058"/>
      <c r="G32" s="1059"/>
      <c r="H32" s="796" t="s">
        <v>371</v>
      </c>
      <c r="I32" s="777"/>
      <c r="J32" s="781"/>
      <c r="K32" s="781">
        <v>1.5</v>
      </c>
      <c r="L32" s="738"/>
      <c r="M32" s="758">
        <f t="shared" si="4"/>
        <v>0</v>
      </c>
      <c r="N32" s="1011">
        <f t="shared" si="5"/>
        <v>0</v>
      </c>
      <c r="O32" s="1012"/>
    </row>
    <row r="33" spans="2:15" ht="16.5" customHeight="1" x14ac:dyDescent="0.2">
      <c r="B33" s="766" t="s">
        <v>370</v>
      </c>
      <c r="C33" s="767"/>
      <c r="D33" s="767"/>
      <c r="E33" s="767"/>
      <c r="F33" s="767"/>
      <c r="G33" s="767"/>
      <c r="H33" s="764" t="s">
        <v>358</v>
      </c>
      <c r="I33" s="781"/>
      <c r="J33" s="781"/>
      <c r="K33" s="781">
        <v>0.3</v>
      </c>
      <c r="L33" s="738"/>
      <c r="M33" s="758">
        <v>0</v>
      </c>
      <c r="N33" s="1011">
        <f>I33*J33*K33</f>
        <v>0</v>
      </c>
      <c r="O33" s="1060"/>
    </row>
    <row r="34" spans="2:15" ht="17.25" customHeight="1" x14ac:dyDescent="0.2">
      <c r="B34" s="768" t="s">
        <v>370</v>
      </c>
      <c r="C34" s="769"/>
      <c r="D34" s="769"/>
      <c r="E34" s="769"/>
      <c r="F34" s="769"/>
      <c r="G34" s="769"/>
      <c r="H34" s="765" t="s">
        <v>358</v>
      </c>
      <c r="I34" s="789"/>
      <c r="J34" s="789"/>
      <c r="K34" s="794">
        <v>0.3</v>
      </c>
      <c r="L34" s="757"/>
      <c r="M34" s="759">
        <v>0</v>
      </c>
      <c r="N34" s="1061">
        <f>I34*J34*K34</f>
        <v>0</v>
      </c>
      <c r="O34" s="1062"/>
    </row>
    <row r="35" spans="2:15" ht="17.25" customHeight="1" x14ac:dyDescent="0.2">
      <c r="B35" s="936" t="s">
        <v>369</v>
      </c>
      <c r="C35" s="937"/>
      <c r="D35" s="937"/>
      <c r="E35" s="937"/>
      <c r="F35" s="937"/>
      <c r="G35" s="937"/>
      <c r="H35" s="937"/>
      <c r="I35" s="937"/>
      <c r="J35" s="937"/>
      <c r="K35" s="937"/>
      <c r="L35" s="937"/>
      <c r="M35" s="1056"/>
      <c r="N35" s="1025"/>
      <c r="O35" s="1026"/>
    </row>
    <row r="36" spans="2:15" ht="17.25" customHeight="1" thickBot="1" x14ac:dyDescent="0.25">
      <c r="B36" s="941" t="s">
        <v>368</v>
      </c>
      <c r="C36" s="942"/>
      <c r="D36" s="942"/>
      <c r="E36" s="942"/>
      <c r="F36" s="942"/>
      <c r="G36" s="942"/>
      <c r="H36" s="942"/>
      <c r="I36" s="942"/>
      <c r="J36" s="942"/>
      <c r="K36" s="942"/>
      <c r="L36" s="942"/>
      <c r="M36" s="1055"/>
      <c r="N36" s="1027"/>
      <c r="O36" s="1028"/>
    </row>
    <row r="37" spans="2:15" x14ac:dyDescent="0.2">
      <c r="C37" s="774"/>
      <c r="D37" s="774"/>
      <c r="E37" s="774"/>
      <c r="J37" s="101"/>
    </row>
  </sheetData>
  <sheetProtection password="C917" sheet="1" selectLockedCells="1"/>
  <mergeCells count="51">
    <mergeCell ref="B36:M36"/>
    <mergeCell ref="B35:M35"/>
    <mergeCell ref="N35:O35"/>
    <mergeCell ref="B32:G32"/>
    <mergeCell ref="B31:G31"/>
    <mergeCell ref="N31:O31"/>
    <mergeCell ref="N32:O32"/>
    <mergeCell ref="N36:O36"/>
    <mergeCell ref="N33:O33"/>
    <mergeCell ref="N34:O34"/>
    <mergeCell ref="N4:O4"/>
    <mergeCell ref="L2:M2"/>
    <mergeCell ref="C3:D3"/>
    <mergeCell ref="F3:G3"/>
    <mergeCell ref="H3:K3"/>
    <mergeCell ref="N3:O3"/>
    <mergeCell ref="N11:O11"/>
    <mergeCell ref="N12:O12"/>
    <mergeCell ref="N13:O13"/>
    <mergeCell ref="N5:O5"/>
    <mergeCell ref="N6:O6"/>
    <mergeCell ref="N8:O8"/>
    <mergeCell ref="N9:O9"/>
    <mergeCell ref="N10:O10"/>
    <mergeCell ref="B30:G30"/>
    <mergeCell ref="B29:G29"/>
    <mergeCell ref="N19:O19"/>
    <mergeCell ref="B21:E21"/>
    <mergeCell ref="N20:O20"/>
    <mergeCell ref="B19:E19"/>
    <mergeCell ref="B20:E20"/>
    <mergeCell ref="N21:O21"/>
    <mergeCell ref="N30:O30"/>
    <mergeCell ref="N25:O25"/>
    <mergeCell ref="B22:E22"/>
    <mergeCell ref="B23:E23"/>
    <mergeCell ref="N22:O22"/>
    <mergeCell ref="N28:O28"/>
    <mergeCell ref="N29:O29"/>
    <mergeCell ref="N26:O26"/>
    <mergeCell ref="N14:O14"/>
    <mergeCell ref="N15:O15"/>
    <mergeCell ref="B16:M16"/>
    <mergeCell ref="B17:M17"/>
    <mergeCell ref="N16:O16"/>
    <mergeCell ref="N17:O17"/>
    <mergeCell ref="N23:O23"/>
    <mergeCell ref="N24:O24"/>
    <mergeCell ref="B24:E24"/>
    <mergeCell ref="B25:E25"/>
    <mergeCell ref="B26:E26"/>
  </mergeCells>
  <conditionalFormatting sqref="N5:O5">
    <cfRule type="cellIs" dxfId="0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61" fitToWidth="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indexed="10"/>
  </sheetPr>
  <dimension ref="A1:X57"/>
  <sheetViews>
    <sheetView showGridLines="0" showZeros="0" zoomScaleNormal="100" zoomScalePageLayoutView="25" workbookViewId="0">
      <selection activeCell="N17" sqref="N17:O17"/>
    </sheetView>
  </sheetViews>
  <sheetFormatPr baseColWidth="10" defaultColWidth="11.42578125" defaultRowHeight="12.75" x14ac:dyDescent="0.2"/>
  <cols>
    <col min="1" max="1" width="1.5703125" style="8" customWidth="1"/>
    <col min="2" max="2" width="18.42578125" style="8" customWidth="1"/>
    <col min="3" max="3" width="13" style="8" customWidth="1"/>
    <col min="4" max="4" width="9.42578125" style="8" customWidth="1"/>
    <col min="5" max="5" width="10.85546875" style="8" customWidth="1"/>
    <col min="6" max="6" width="6.85546875" style="8" customWidth="1"/>
    <col min="7" max="9" width="6.42578125" style="8" customWidth="1"/>
    <col min="10" max="10" width="8" style="8" customWidth="1"/>
    <col min="11" max="11" width="10.5703125" style="8" customWidth="1"/>
    <col min="12" max="12" width="6.42578125" style="108" customWidth="1"/>
    <col min="13" max="13" width="10" style="8" customWidth="1"/>
    <col min="14" max="14" width="9.28515625" style="8" customWidth="1"/>
    <col min="15" max="15" width="9.7109375" style="8" customWidth="1"/>
    <col min="16" max="16" width="13.7109375" style="104" customWidth="1"/>
    <col min="17" max="19" width="11.42578125" style="540" hidden="1" customWidth="1"/>
    <col min="20" max="20" width="13.140625" style="540" hidden="1" customWidth="1"/>
    <col min="21" max="23" width="11.42578125" style="540" hidden="1" customWidth="1"/>
    <col min="24" max="24" width="11.42578125" style="104" customWidth="1"/>
    <col min="25" max="16384" width="11.42578125" style="8"/>
  </cols>
  <sheetData>
    <row r="1" spans="1:24" ht="72" customHeight="1" thickBot="1" x14ac:dyDescent="0.35">
      <c r="A1" s="266"/>
      <c r="B1" s="213"/>
      <c r="C1" s="30"/>
      <c r="D1" s="30"/>
      <c r="E1" s="30"/>
      <c r="F1" s="30"/>
      <c r="G1" s="30"/>
      <c r="H1" s="30"/>
      <c r="I1" s="213"/>
      <c r="J1" s="214"/>
      <c r="K1" s="214"/>
      <c r="L1" s="215" t="str">
        <f>'Adresse + Ergebnis '!A3</f>
        <v xml:space="preserve">Grundlage: GRUD 2017 </v>
      </c>
      <c r="M1" s="30"/>
      <c r="N1" s="30"/>
      <c r="O1" s="30"/>
    </row>
    <row r="2" spans="1:24" ht="41.25" customHeight="1" x14ac:dyDescent="0.45">
      <c r="B2" s="216" t="s">
        <v>0</v>
      </c>
      <c r="C2" s="217"/>
      <c r="D2" s="217"/>
      <c r="E2" s="217"/>
      <c r="F2" s="217"/>
      <c r="G2" s="217"/>
      <c r="H2" s="217"/>
      <c r="I2" s="217"/>
      <c r="J2" s="217"/>
      <c r="K2" s="217"/>
      <c r="L2" s="899">
        <f>'Adresse + Ergebnis '!N2</f>
        <v>0</v>
      </c>
      <c r="M2" s="1110"/>
      <c r="N2" s="218"/>
      <c r="O2" s="219" t="s">
        <v>372</v>
      </c>
    </row>
    <row r="3" spans="1:24" s="15" customFormat="1" ht="39" customHeight="1" x14ac:dyDescent="0.25">
      <c r="B3" s="25" t="s">
        <v>1</v>
      </c>
      <c r="C3" s="1119">
        <f>'Adresse + Ergebnis '!B5</f>
        <v>0</v>
      </c>
      <c r="D3" s="1120"/>
      <c r="F3" s="1053" t="s">
        <v>266</v>
      </c>
      <c r="G3" s="1054"/>
      <c r="H3" s="906" t="str">
        <f>'Diverse Tiere'!H3:K3</f>
        <v xml:space="preserve"> </v>
      </c>
      <c r="I3" s="906"/>
      <c r="J3" s="906"/>
      <c r="K3" s="906"/>
      <c r="L3" s="226" t="s">
        <v>2</v>
      </c>
      <c r="N3" s="905">
        <f>'Diverse Tiere'!Q3</f>
        <v>0</v>
      </c>
      <c r="O3" s="905"/>
      <c r="P3" s="221"/>
      <c r="Q3" s="541"/>
      <c r="R3" s="541"/>
      <c r="S3" s="541"/>
      <c r="T3" s="541"/>
      <c r="U3" s="541"/>
      <c r="V3" s="541"/>
      <c r="W3" s="541"/>
      <c r="X3" s="221"/>
    </row>
    <row r="4" spans="1:24" s="23" customFormat="1" ht="20.25" customHeight="1" x14ac:dyDescent="0.25">
      <c r="B4" s="15"/>
      <c r="D4" s="22"/>
      <c r="H4" s="222"/>
      <c r="I4" s="223"/>
      <c r="J4" s="12"/>
      <c r="L4" s="224" t="s">
        <v>34</v>
      </c>
      <c r="N4" s="905">
        <f>'Adresse + Ergebnis '!B11</f>
        <v>0</v>
      </c>
      <c r="O4" s="905"/>
      <c r="P4" s="225"/>
      <c r="Q4" s="542"/>
      <c r="R4" s="542"/>
      <c r="S4" s="542"/>
      <c r="T4" s="542"/>
      <c r="U4" s="542"/>
      <c r="V4" s="542"/>
      <c r="W4" s="542"/>
      <c r="X4" s="225"/>
    </row>
    <row r="5" spans="1:24" s="23" customFormat="1" ht="20.25" customHeight="1" x14ac:dyDescent="0.25">
      <c r="B5" s="15"/>
      <c r="D5" s="22"/>
      <c r="H5" s="222"/>
      <c r="I5" s="223"/>
      <c r="J5" s="12"/>
      <c r="L5" s="226" t="s">
        <v>4</v>
      </c>
      <c r="N5" s="1048">
        <f>'Adresse + Ergebnis '!F11</f>
        <v>0</v>
      </c>
      <c r="O5" s="1048"/>
      <c r="P5" s="225"/>
      <c r="Q5" s="542"/>
      <c r="R5" s="542"/>
      <c r="S5" s="542"/>
      <c r="T5" s="542"/>
      <c r="U5" s="542"/>
      <c r="V5" s="542"/>
      <c r="W5" s="542"/>
      <c r="X5" s="225"/>
    </row>
    <row r="6" spans="1:24" s="15" customFormat="1" ht="25.5" customHeight="1" x14ac:dyDescent="0.45">
      <c r="B6" s="227" t="s">
        <v>115</v>
      </c>
      <c r="C6" s="267"/>
      <c r="D6" s="267"/>
      <c r="E6" s="267"/>
      <c r="F6" s="267"/>
      <c r="G6" s="267"/>
      <c r="H6" s="267"/>
      <c r="I6" s="267"/>
      <c r="J6" s="22"/>
      <c r="K6" s="23"/>
      <c r="M6" s="12"/>
      <c r="N6" s="1049"/>
      <c r="O6" s="1049"/>
      <c r="P6" s="221"/>
      <c r="Q6" s="541"/>
      <c r="R6" s="541"/>
      <c r="S6" s="541"/>
      <c r="T6" s="541"/>
      <c r="U6" s="541"/>
      <c r="V6" s="541"/>
      <c r="W6" s="541"/>
      <c r="X6" s="221"/>
    </row>
    <row r="7" spans="1:24" ht="2.25" customHeight="1" thickBot="1" x14ac:dyDescent="0.25"/>
    <row r="8" spans="1:24" ht="37.5" customHeight="1" thickBot="1" x14ac:dyDescent="0.45">
      <c r="B8" s="268" t="s">
        <v>12</v>
      </c>
      <c r="C8" s="269"/>
      <c r="D8" s="182"/>
      <c r="E8" s="182"/>
      <c r="F8" s="101"/>
      <c r="G8" s="101"/>
      <c r="H8" s="182"/>
      <c r="I8" s="182"/>
      <c r="J8" s="182"/>
      <c r="K8" s="182"/>
      <c r="L8" s="270"/>
      <c r="M8" s="232"/>
      <c r="N8" s="1035" t="s">
        <v>224</v>
      </c>
      <c r="O8" s="1035"/>
    </row>
    <row r="9" spans="1:24" s="25" customFormat="1" ht="14.25" x14ac:dyDescent="0.2">
      <c r="B9" s="271" t="s">
        <v>5</v>
      </c>
      <c r="C9" s="90" t="s">
        <v>216</v>
      </c>
      <c r="D9" s="90"/>
      <c r="E9" s="90"/>
      <c r="F9" s="37"/>
      <c r="G9" s="37"/>
      <c r="H9" s="90"/>
      <c r="I9" s="90"/>
      <c r="J9" s="272"/>
      <c r="K9" s="1111" t="s">
        <v>96</v>
      </c>
      <c r="L9" s="1112"/>
      <c r="M9" s="434">
        <f>'Rindvieh, Schweine, Geflügel'!P28</f>
        <v>0</v>
      </c>
      <c r="N9" s="1036">
        <f>'Grundlagen GRUD'!C84*M9</f>
        <v>0</v>
      </c>
      <c r="O9" s="1037"/>
      <c r="P9" s="83"/>
      <c r="Q9" s="543"/>
      <c r="R9" s="543"/>
      <c r="S9" s="543"/>
      <c r="T9" s="543"/>
      <c r="U9" s="543"/>
      <c r="V9" s="543"/>
      <c r="W9" s="543"/>
      <c r="X9" s="83"/>
    </row>
    <row r="10" spans="1:24" s="25" customFormat="1" ht="14.25" x14ac:dyDescent="0.2">
      <c r="B10" s="271" t="s">
        <v>8</v>
      </c>
      <c r="C10" s="90" t="s">
        <v>216</v>
      </c>
      <c r="D10" s="90"/>
      <c r="E10" s="246"/>
      <c r="F10" s="39"/>
      <c r="G10" s="39"/>
      <c r="H10" s="90"/>
      <c r="I10" s="90"/>
      <c r="J10" s="90"/>
      <c r="K10" s="1111" t="s">
        <v>97</v>
      </c>
      <c r="L10" s="1112"/>
      <c r="M10" s="434">
        <f>'Rindvieh, Schweine, Geflügel'!P38</f>
        <v>0</v>
      </c>
      <c r="N10" s="1011">
        <f>'Grundlagen GRUD'!C87*M10</f>
        <v>0</v>
      </c>
      <c r="O10" s="1012"/>
      <c r="P10" s="83"/>
      <c r="Q10" s="543"/>
      <c r="R10" s="543"/>
      <c r="S10" s="543"/>
      <c r="T10" s="543"/>
      <c r="U10" s="543"/>
      <c r="V10" s="543"/>
      <c r="W10" s="543"/>
      <c r="X10" s="83"/>
    </row>
    <row r="11" spans="1:24" s="25" customFormat="1" ht="14.25" x14ac:dyDescent="0.2">
      <c r="B11" s="271" t="s">
        <v>10</v>
      </c>
      <c r="C11" s="90" t="s">
        <v>218</v>
      </c>
      <c r="D11" s="90"/>
      <c r="E11" s="2"/>
      <c r="F11" s="90"/>
      <c r="G11" s="90"/>
      <c r="H11" s="90"/>
      <c r="I11" s="90"/>
      <c r="J11" s="90"/>
      <c r="K11" s="1111" t="s">
        <v>98</v>
      </c>
      <c r="L11" s="1112"/>
      <c r="M11" s="434">
        <f>'Rindvieh, Schweine, Geflügel'!P42+'Rindvieh, Schweine, Geflügel'!P43</f>
        <v>0</v>
      </c>
      <c r="N11" s="1011">
        <f>'Grundlagen GRUD'!C90*M11</f>
        <v>0</v>
      </c>
      <c r="O11" s="1060"/>
      <c r="P11" s="83"/>
      <c r="Q11" s="543"/>
      <c r="R11" s="543"/>
      <c r="S11" s="543"/>
      <c r="T11" s="543"/>
      <c r="U11" s="543"/>
      <c r="V11" s="543"/>
      <c r="W11" s="543"/>
      <c r="X11" s="83"/>
    </row>
    <row r="12" spans="1:24" s="25" customFormat="1" ht="14.25" x14ac:dyDescent="0.2">
      <c r="B12" s="271"/>
      <c r="C12" s="90" t="s">
        <v>219</v>
      </c>
      <c r="D12" s="90"/>
      <c r="E12" s="2"/>
      <c r="F12" s="90"/>
      <c r="G12" s="90"/>
      <c r="H12" s="90"/>
      <c r="I12" s="90"/>
      <c r="J12" s="1111" t="s">
        <v>217</v>
      </c>
      <c r="K12" s="1117"/>
      <c r="L12" s="1118"/>
      <c r="M12" s="434">
        <f>'Rindvieh, Schweine, Geflügel'!P44/0.4+'Rindvieh, Schweine, Geflügel'!P45/0.4</f>
        <v>0</v>
      </c>
      <c r="N12" s="1011">
        <f>'Grundlagen GRUD'!C91*M12</f>
        <v>0</v>
      </c>
      <c r="O12" s="1012"/>
      <c r="P12" s="83"/>
      <c r="Q12" s="543"/>
      <c r="R12" s="543"/>
      <c r="S12" s="543"/>
      <c r="T12" s="543"/>
      <c r="U12" s="543"/>
      <c r="V12" s="543"/>
      <c r="W12" s="543"/>
      <c r="X12" s="83"/>
    </row>
    <row r="13" spans="1:24" s="25" customFormat="1" ht="14.25" x14ac:dyDescent="0.2">
      <c r="B13" s="271" t="s">
        <v>6</v>
      </c>
      <c r="C13" s="90" t="s">
        <v>231</v>
      </c>
      <c r="D13" s="412"/>
      <c r="E13" s="277"/>
      <c r="F13" s="278"/>
      <c r="G13" s="278"/>
      <c r="H13" s="276"/>
      <c r="I13" s="276"/>
      <c r="J13" s="279"/>
      <c r="K13" s="1111" t="s">
        <v>96</v>
      </c>
      <c r="L13" s="1112"/>
      <c r="M13" s="434">
        <f>'Diverse Tiere'!P14</f>
        <v>0</v>
      </c>
      <c r="N13" s="1011">
        <f>IF(S13=FALSE, M13*'Grundlagen GRUD'!C94,"")</f>
        <v>0</v>
      </c>
      <c r="O13" s="1060"/>
      <c r="P13" s="83"/>
      <c r="Q13" s="543"/>
      <c r="R13" s="543"/>
      <c r="S13" s="543" t="b">
        <v>0</v>
      </c>
      <c r="T13" s="543"/>
      <c r="U13" s="543"/>
      <c r="V13" s="543"/>
      <c r="W13" s="543"/>
      <c r="X13" s="83"/>
    </row>
    <row r="14" spans="1:24" s="25" customFormat="1" ht="14.25" x14ac:dyDescent="0.2">
      <c r="B14" s="38" t="s">
        <v>221</v>
      </c>
      <c r="C14" s="90" t="s">
        <v>216</v>
      </c>
      <c r="D14" s="90"/>
      <c r="E14" s="2"/>
      <c r="F14" s="39"/>
      <c r="G14" s="39"/>
      <c r="H14" s="90"/>
      <c r="I14" s="90"/>
      <c r="J14" s="90"/>
      <c r="K14" s="1111" t="s">
        <v>96</v>
      </c>
      <c r="L14" s="1112"/>
      <c r="M14" s="434">
        <f>'Diverse Tiere'!P17</f>
        <v>0</v>
      </c>
      <c r="N14" s="1011">
        <f>M14*'Grundlagen GRUD'!C97</f>
        <v>0</v>
      </c>
      <c r="O14" s="1012"/>
      <c r="P14" s="83"/>
      <c r="Q14" s="543"/>
      <c r="R14" s="543"/>
      <c r="S14" s="543"/>
      <c r="T14" s="543"/>
      <c r="U14" s="543"/>
      <c r="V14" s="543"/>
      <c r="W14" s="543"/>
      <c r="X14" s="83"/>
    </row>
    <row r="15" spans="1:24" s="25" customFormat="1" ht="14.25" x14ac:dyDescent="0.2">
      <c r="B15" s="38" t="s">
        <v>222</v>
      </c>
      <c r="C15" s="90" t="s">
        <v>216</v>
      </c>
      <c r="D15" s="90"/>
      <c r="E15" s="2"/>
      <c r="F15" s="39"/>
      <c r="G15" s="39"/>
      <c r="H15" s="90"/>
      <c r="I15" s="90"/>
      <c r="J15" s="90"/>
      <c r="K15" s="1111" t="s">
        <v>96</v>
      </c>
      <c r="L15" s="1112"/>
      <c r="M15" s="434">
        <f>'Diverse Tiere'!P23</f>
        <v>0</v>
      </c>
      <c r="N15" s="1011">
        <f>M15*'Grundlagen GRUD'!C97</f>
        <v>0</v>
      </c>
      <c r="O15" s="1012"/>
      <c r="P15" s="83"/>
      <c r="Q15" s="543"/>
      <c r="R15" s="543"/>
      <c r="S15" s="543"/>
      <c r="T15" s="543"/>
      <c r="U15" s="543"/>
      <c r="V15" s="543"/>
      <c r="W15" s="543"/>
      <c r="X15" s="83"/>
    </row>
    <row r="16" spans="1:24" s="25" customFormat="1" ht="14.25" x14ac:dyDescent="0.2">
      <c r="B16" s="271" t="s">
        <v>26</v>
      </c>
      <c r="C16" s="90" t="s">
        <v>220</v>
      </c>
      <c r="D16" s="90"/>
      <c r="E16" s="2"/>
      <c r="F16" s="39"/>
      <c r="G16" s="39"/>
      <c r="H16" s="90"/>
      <c r="I16" s="90"/>
      <c r="J16" s="90"/>
      <c r="K16" s="1111" t="s">
        <v>96</v>
      </c>
      <c r="L16" s="1118"/>
      <c r="M16" s="434">
        <f>'Diverse Tiere'!P31</f>
        <v>0</v>
      </c>
      <c r="N16" s="1011">
        <f>'Grundlagen GRUD'!C100*M16</f>
        <v>0</v>
      </c>
      <c r="O16" s="1012"/>
      <c r="P16" s="83"/>
      <c r="Q16" s="543"/>
      <c r="R16" s="543"/>
      <c r="S16" s="543"/>
      <c r="T16" s="543"/>
      <c r="U16" s="543"/>
      <c r="V16" s="543"/>
      <c r="W16" s="543"/>
      <c r="X16" s="83"/>
    </row>
    <row r="17" spans="2:24" s="25" customFormat="1" ht="16.5" x14ac:dyDescent="0.2">
      <c r="B17" s="271" t="s">
        <v>183</v>
      </c>
      <c r="C17" s="90" t="s">
        <v>128</v>
      </c>
      <c r="D17" s="90"/>
      <c r="E17" s="90"/>
      <c r="H17" s="90"/>
      <c r="I17" s="90"/>
      <c r="J17" s="90"/>
      <c r="K17" s="279"/>
      <c r="L17" s="280" t="s">
        <v>122</v>
      </c>
      <c r="M17" s="273"/>
      <c r="N17" s="1095"/>
      <c r="O17" s="1096"/>
      <c r="P17" s="83"/>
      <c r="Q17" s="543"/>
      <c r="R17" s="543"/>
      <c r="S17" s="543"/>
      <c r="T17" s="543"/>
      <c r="U17" s="543"/>
      <c r="V17" s="543"/>
      <c r="W17" s="543"/>
      <c r="X17" s="83"/>
    </row>
    <row r="18" spans="2:24" s="25" customFormat="1" ht="15" customHeight="1" x14ac:dyDescent="0.2">
      <c r="B18" s="271" t="s">
        <v>13</v>
      </c>
      <c r="C18" s="281" t="s">
        <v>14</v>
      </c>
      <c r="D18" s="282"/>
      <c r="E18" s="908" t="s">
        <v>159</v>
      </c>
      <c r="F18" s="814"/>
      <c r="G18" s="814"/>
      <c r="H18" s="814"/>
      <c r="I18" s="814"/>
      <c r="J18" s="814"/>
      <c r="K18" s="814"/>
      <c r="L18" s="1132"/>
      <c r="M18" s="413"/>
      <c r="N18" s="1011" t="str">
        <f>IF(M18&gt;0.99,'Abwasser, Hofdüngerlager'!M18*'Grundlagen GRUD'!D107+'Grundlagen GRUD'!C107,"")</f>
        <v/>
      </c>
      <c r="O18" s="1012"/>
      <c r="P18" s="83"/>
      <c r="Q18" s="543"/>
      <c r="R18" s="543"/>
      <c r="S18" s="543"/>
      <c r="T18" s="543"/>
      <c r="U18" s="543"/>
      <c r="V18" s="543"/>
      <c r="W18" s="543"/>
      <c r="X18" s="83"/>
    </row>
    <row r="19" spans="2:24" s="25" customFormat="1" ht="15" customHeight="1" x14ac:dyDescent="0.2">
      <c r="B19" s="271"/>
      <c r="C19" s="283" t="s">
        <v>15</v>
      </c>
      <c r="D19" s="282"/>
      <c r="E19" s="908" t="s">
        <v>175</v>
      </c>
      <c r="F19" s="908"/>
      <c r="G19" s="908"/>
      <c r="H19" s="908"/>
      <c r="I19" s="908"/>
      <c r="J19" s="908"/>
      <c r="K19" s="908"/>
      <c r="L19" s="1116"/>
      <c r="M19" s="413"/>
      <c r="N19" s="1011">
        <f>M19*'Grundlagen GRUD'!C108</f>
        <v>0</v>
      </c>
      <c r="O19" s="1012"/>
      <c r="P19" s="83"/>
      <c r="Q19" s="543"/>
      <c r="R19" s="543"/>
      <c r="S19" s="543"/>
      <c r="T19" s="543"/>
      <c r="U19" s="543"/>
      <c r="V19" s="543"/>
      <c r="W19" s="543"/>
      <c r="X19" s="83"/>
    </row>
    <row r="20" spans="2:24" s="25" customFormat="1" ht="15" customHeight="1" x14ac:dyDescent="0.2">
      <c r="B20" s="271"/>
      <c r="C20" s="90" t="s">
        <v>152</v>
      </c>
      <c r="D20" s="90"/>
      <c r="E20" s="250"/>
      <c r="F20" s="250"/>
      <c r="G20" s="250"/>
      <c r="H20" s="250"/>
      <c r="I20" s="250"/>
      <c r="J20" s="250"/>
      <c r="K20" s="250"/>
      <c r="L20" s="284" t="s">
        <v>159</v>
      </c>
      <c r="M20" s="413"/>
      <c r="N20" s="1011" t="str">
        <f>IF(M20&gt;0.99,M20*'Grundlagen GRUD'!D109+'Grundlagen GRUD'!C109,"")</f>
        <v/>
      </c>
      <c r="O20" s="1012"/>
      <c r="P20" s="83"/>
      <c r="Q20" s="543"/>
      <c r="R20" s="543"/>
      <c r="S20" s="543"/>
      <c r="T20" s="543"/>
      <c r="U20" s="543"/>
      <c r="V20" s="543"/>
      <c r="W20" s="543"/>
      <c r="X20" s="83"/>
    </row>
    <row r="21" spans="2:24" s="25" customFormat="1" ht="14.25" x14ac:dyDescent="0.2">
      <c r="B21" s="271"/>
      <c r="C21" s="90" t="s">
        <v>112</v>
      </c>
      <c r="D21" s="90"/>
      <c r="E21" s="908" t="s">
        <v>159</v>
      </c>
      <c r="F21" s="908"/>
      <c r="G21" s="908"/>
      <c r="H21" s="908"/>
      <c r="I21" s="908"/>
      <c r="J21" s="908"/>
      <c r="K21" s="908"/>
      <c r="L21" s="1116"/>
      <c r="M21" s="413"/>
      <c r="N21" s="1011" t="str">
        <f>IF(M21&gt;0.99,M21*'Grundlagen GRUD'!D110+'Grundlagen GRUD'!C110,"")</f>
        <v/>
      </c>
      <c r="O21" s="1012"/>
      <c r="P21" s="83"/>
      <c r="Q21" s="543"/>
      <c r="R21" s="543"/>
      <c r="S21" s="543"/>
      <c r="T21" s="543"/>
      <c r="U21" s="543"/>
      <c r="V21" s="543"/>
      <c r="W21" s="543"/>
      <c r="X21" s="83"/>
    </row>
    <row r="22" spans="2:24" s="25" customFormat="1" ht="14.25" x14ac:dyDescent="0.2">
      <c r="B22" s="271"/>
      <c r="C22" s="283" t="s">
        <v>16</v>
      </c>
      <c r="D22" s="90"/>
      <c r="E22" s="908" t="s">
        <v>189</v>
      </c>
      <c r="F22" s="908"/>
      <c r="G22" s="908"/>
      <c r="H22" s="908"/>
      <c r="I22" s="908"/>
      <c r="J22" s="908"/>
      <c r="K22" s="908"/>
      <c r="L22" s="1116"/>
      <c r="M22" s="413"/>
      <c r="N22" s="1011">
        <f>M22*'Grundlagen GRUD'!C111</f>
        <v>0</v>
      </c>
      <c r="O22" s="1012"/>
      <c r="P22" s="83"/>
      <c r="Q22" s="543"/>
      <c r="R22" s="543"/>
      <c r="S22" s="543"/>
      <c r="T22" s="543"/>
      <c r="U22" s="543"/>
      <c r="V22" s="543"/>
      <c r="W22" s="543"/>
      <c r="X22" s="83"/>
    </row>
    <row r="23" spans="2:24" s="25" customFormat="1" ht="14.25" x14ac:dyDescent="0.2">
      <c r="B23" s="271"/>
      <c r="C23" s="90" t="s">
        <v>123</v>
      </c>
      <c r="D23" s="90"/>
      <c r="E23" s="257"/>
      <c r="F23" s="257"/>
      <c r="G23" s="257"/>
      <c r="H23" s="257"/>
      <c r="I23" s="250"/>
      <c r="J23" s="250"/>
      <c r="K23" s="257"/>
      <c r="L23" s="285" t="s">
        <v>160</v>
      </c>
      <c r="M23" s="413"/>
      <c r="N23" s="1011">
        <f>M23*'Grundlagen GRUD'!C112</f>
        <v>0</v>
      </c>
      <c r="O23" s="1012"/>
      <c r="P23" s="83"/>
      <c r="Q23" s="543"/>
      <c r="R23" s="543"/>
      <c r="S23" s="543"/>
      <c r="T23" s="543"/>
      <c r="U23" s="543"/>
      <c r="V23" s="543"/>
      <c r="W23" s="543"/>
      <c r="X23" s="83"/>
    </row>
    <row r="24" spans="2:24" s="25" customFormat="1" ht="16.5" x14ac:dyDescent="0.2">
      <c r="B24" s="271"/>
      <c r="C24" s="813" t="s">
        <v>282</v>
      </c>
      <c r="D24" s="1131"/>
      <c r="E24" s="1131"/>
      <c r="F24" s="1131"/>
      <c r="G24" s="1131"/>
      <c r="H24" s="1131"/>
      <c r="I24" s="1131"/>
      <c r="J24" s="250"/>
      <c r="K24" s="257"/>
      <c r="L24" s="280" t="s">
        <v>122</v>
      </c>
      <c r="M24" s="513"/>
      <c r="N24" s="1095"/>
      <c r="O24" s="1096"/>
      <c r="P24" s="83"/>
      <c r="Q24" s="543"/>
      <c r="R24" s="543"/>
      <c r="S24" s="543"/>
      <c r="T24" s="543"/>
      <c r="U24" s="543"/>
      <c r="V24" s="543"/>
      <c r="W24" s="543"/>
      <c r="X24" s="83"/>
    </row>
    <row r="25" spans="2:24" s="25" customFormat="1" ht="14.25" x14ac:dyDescent="0.2">
      <c r="B25" s="271"/>
      <c r="C25" s="286"/>
      <c r="D25" s="90"/>
      <c r="E25" s="257"/>
      <c r="F25" s="257"/>
      <c r="G25" s="257"/>
      <c r="H25" s="257"/>
      <c r="I25" s="250"/>
      <c r="J25" s="250"/>
      <c r="K25" s="257"/>
      <c r="L25" s="287"/>
      <c r="M25" s="256"/>
      <c r="N25" s="1065"/>
      <c r="O25" s="1066"/>
      <c r="P25" s="83"/>
      <c r="Q25" s="543"/>
      <c r="R25" s="543"/>
      <c r="S25" s="544"/>
      <c r="T25" s="544"/>
      <c r="U25" s="544"/>
      <c r="V25" s="543"/>
      <c r="W25" s="543"/>
      <c r="X25" s="83"/>
    </row>
    <row r="26" spans="2:24" s="25" customFormat="1" ht="15" x14ac:dyDescent="0.25">
      <c r="B26" s="89" t="s">
        <v>153</v>
      </c>
      <c r="C26" s="286"/>
      <c r="D26" s="90"/>
      <c r="E26" s="257"/>
      <c r="F26" s="257"/>
      <c r="G26" s="257"/>
      <c r="H26" s="257"/>
      <c r="I26" s="250"/>
      <c r="J26" s="250"/>
      <c r="K26" s="257"/>
      <c r="L26" s="287"/>
      <c r="M26" s="256"/>
      <c r="N26" s="1065"/>
      <c r="O26" s="1066"/>
      <c r="P26" s="83"/>
      <c r="Q26" s="543"/>
      <c r="R26" s="543"/>
      <c r="S26" s="543"/>
      <c r="T26" s="543"/>
      <c r="U26" s="543"/>
      <c r="V26" s="543"/>
      <c r="W26" s="543"/>
      <c r="X26" s="83"/>
    </row>
    <row r="27" spans="2:24" s="25" customFormat="1" ht="15" x14ac:dyDescent="0.25">
      <c r="B27" s="233" t="s">
        <v>233</v>
      </c>
      <c r="C27" s="40"/>
      <c r="D27" s="537"/>
      <c r="E27" s="537"/>
      <c r="F27" s="537"/>
      <c r="G27" s="537"/>
      <c r="H27" s="537"/>
      <c r="I27" s="538"/>
      <c r="J27" s="538"/>
      <c r="K27" s="246"/>
      <c r="L27" s="288"/>
      <c r="M27" s="256"/>
      <c r="N27" s="274"/>
      <c r="O27" s="275"/>
      <c r="P27" s="83"/>
      <c r="Q27" s="543"/>
      <c r="R27" s="543"/>
      <c r="S27" s="543" t="b">
        <v>0</v>
      </c>
      <c r="T27" s="543" t="b">
        <v>1</v>
      </c>
      <c r="U27" s="543"/>
      <c r="V27" s="543"/>
      <c r="W27" s="543"/>
      <c r="X27" s="83"/>
    </row>
    <row r="28" spans="2:24" s="25" customFormat="1" ht="16.5" x14ac:dyDescent="0.2">
      <c r="B28" s="271" t="s">
        <v>381</v>
      </c>
      <c r="C28" s="90"/>
      <c r="D28" s="90"/>
      <c r="E28" s="2"/>
      <c r="F28" s="90"/>
      <c r="G28" s="90"/>
      <c r="H28" s="90"/>
      <c r="I28" s="39"/>
      <c r="J28" s="39"/>
      <c r="K28" s="1063" t="s">
        <v>161</v>
      </c>
      <c r="L28" s="1115"/>
      <c r="M28" s="742">
        <f>SUM(Hofdüngeranlagen!M29:M34)</f>
        <v>0</v>
      </c>
      <c r="N28" s="1065">
        <f>IF(T27=TRUE,'Grundlagen GRUD'!C$103*M28,'Grundlagen GRUD'!D$103*M28)</f>
        <v>0</v>
      </c>
      <c r="O28" s="1066"/>
      <c r="P28" s="83"/>
      <c r="Q28" s="543"/>
      <c r="R28" s="543"/>
      <c r="S28" s="543"/>
      <c r="T28" s="543"/>
      <c r="U28" s="543"/>
      <c r="V28" s="543"/>
      <c r="W28" s="543"/>
      <c r="X28" s="83"/>
    </row>
    <row r="29" spans="2:24" s="25" customFormat="1" ht="16.5" x14ac:dyDescent="0.2">
      <c r="B29" s="271" t="s">
        <v>378</v>
      </c>
      <c r="C29" s="90"/>
      <c r="D29" s="90"/>
      <c r="E29" s="2"/>
      <c r="F29" s="90"/>
      <c r="G29" s="90"/>
      <c r="H29" s="90"/>
      <c r="I29" s="797"/>
      <c r="J29" s="797"/>
      <c r="K29" s="1063" t="s">
        <v>125</v>
      </c>
      <c r="L29" s="1064"/>
      <c r="M29" s="413"/>
      <c r="N29" s="1065">
        <f>IF(T27=TRUE,'Grundlagen GRUD'!C$103*M29,'Grundlagen GRUD'!D$103*M29)</f>
        <v>0</v>
      </c>
      <c r="O29" s="1066"/>
      <c r="P29" s="83"/>
      <c r="Q29" s="543"/>
      <c r="R29" s="543"/>
      <c r="S29" s="543"/>
      <c r="T29" s="543"/>
      <c r="U29" s="543"/>
      <c r="V29" s="543"/>
      <c r="W29" s="543"/>
      <c r="X29" s="83"/>
    </row>
    <row r="30" spans="2:24" s="25" customFormat="1" ht="16.5" x14ac:dyDescent="0.2">
      <c r="B30" s="271" t="s">
        <v>154</v>
      </c>
      <c r="C30" s="90"/>
      <c r="D30" s="90"/>
      <c r="E30" s="2"/>
      <c r="F30" s="90"/>
      <c r="G30" s="90"/>
      <c r="H30" s="90"/>
      <c r="I30" s="39"/>
      <c r="J30" s="39"/>
      <c r="K30" s="1063" t="s">
        <v>125</v>
      </c>
      <c r="L30" s="1115"/>
      <c r="M30" s="413"/>
      <c r="N30" s="1065">
        <f>IF(T27=TRUE,'Grundlagen GRUD'!C$103*M30,'Grundlagen GRUD'!D$103*M30)</f>
        <v>0</v>
      </c>
      <c r="O30" s="1066"/>
      <c r="P30" s="83"/>
      <c r="Q30" s="543"/>
      <c r="R30" s="543"/>
      <c r="S30" s="543"/>
      <c r="T30" s="543"/>
      <c r="U30" s="543"/>
      <c r="V30" s="543"/>
      <c r="W30" s="543"/>
      <c r="X30" s="83"/>
    </row>
    <row r="31" spans="2:24" s="25" customFormat="1" ht="16.5" x14ac:dyDescent="0.2">
      <c r="B31" s="271" t="s">
        <v>155</v>
      </c>
      <c r="C31" s="90"/>
      <c r="D31" s="90"/>
      <c r="E31" s="90"/>
      <c r="F31" s="90"/>
      <c r="G31" s="90"/>
      <c r="H31" s="90"/>
      <c r="I31" s="39"/>
      <c r="J31" s="39"/>
      <c r="K31" s="1063" t="s">
        <v>125</v>
      </c>
      <c r="L31" s="1115"/>
      <c r="M31" s="743">
        <f>IF(Hofdüngeranlagen!E9="ja",0,IF(ISBLANK(Hofdüngeranlagen!J9),Hofdüngeranlagen!F9*Hofdüngeranlagen!G9,(Hofdüngeranlagen!J9/2)^2*PI()))+IF(Hofdüngeranlagen!E10="ja",0,IF(ISBLANK(Hofdüngeranlagen!J10),Hofdüngeranlagen!F10*Hofdüngeranlagen!G10,(Hofdüngeranlagen!J10/2)^2*PI()))+IF(Hofdüngeranlagen!E11="ja",0,IF(ISBLANK(Hofdüngeranlagen!J11),Hofdüngeranlagen!F11*Hofdüngeranlagen!G11,(Hofdüngeranlagen!J11/2)^2*PI()))+IF(Hofdüngeranlagen!E12="ja",0,IF(ISBLANK(Hofdüngeranlagen!J12),Hofdüngeranlagen!F12*Hofdüngeranlagen!G12,(Hofdüngeranlagen!J12/2)^2*PI()))+IF(Hofdüngeranlagen!E13="ja",0,IF(ISBLANK(Hofdüngeranlagen!J13),Hofdüngeranlagen!F13*Hofdüngeranlagen!G13,(Hofdüngeranlagen!J13/2)^2*PI()))+IF(Hofdüngeranlagen!E14="ja",0,IF(ISBLANK(Hofdüngeranlagen!J14),Hofdüngeranlagen!F14*Hofdüngeranlagen!G14,(Hofdüngeranlagen!J14/2)^2*PI()))+IF(Hofdüngeranlagen!E15="ja",0,IF(ISBLANK(Hofdüngeranlagen!J15),Hofdüngeranlagen!F15*Hofdüngeranlagen!G15,(Hofdüngeranlagen!J15/2)^2*PI()))</f>
        <v>0</v>
      </c>
      <c r="N31" s="1101">
        <f>IF(T27=TRUE,'Grundlagen GRUD'!C$103*M31,'Grundlagen GRUD'!D$103*M31)</f>
        <v>0</v>
      </c>
      <c r="O31" s="1102"/>
      <c r="P31" s="83"/>
      <c r="Q31" s="543"/>
      <c r="R31" s="543"/>
      <c r="S31" s="543"/>
      <c r="T31" s="543"/>
      <c r="U31" s="543"/>
      <c r="V31" s="543"/>
      <c r="W31" s="543"/>
      <c r="X31" s="83"/>
    </row>
    <row r="32" spans="2:24" s="25" customFormat="1" ht="16.5" x14ac:dyDescent="0.2">
      <c r="B32" s="271" t="s">
        <v>156</v>
      </c>
      <c r="C32" s="90"/>
      <c r="D32" s="90"/>
      <c r="E32" s="90"/>
      <c r="F32" s="90"/>
      <c r="G32" s="90"/>
      <c r="H32" s="90"/>
      <c r="I32" s="39"/>
      <c r="J32" s="39"/>
      <c r="K32" s="1063" t="s">
        <v>125</v>
      </c>
      <c r="L32" s="1115"/>
      <c r="M32" s="413"/>
      <c r="N32" s="1065">
        <f>IF(T27=TRUE,'Grundlagen GRUD'!C$104*M32,'Grundlagen GRUD'!D$104*M32)</f>
        <v>0</v>
      </c>
      <c r="O32" s="1066"/>
      <c r="P32" s="83"/>
      <c r="Q32" s="543"/>
      <c r="R32" s="543"/>
      <c r="S32" s="543"/>
      <c r="T32" s="543"/>
      <c r="U32" s="543"/>
      <c r="V32" s="543"/>
      <c r="W32" s="543"/>
      <c r="X32" s="83"/>
    </row>
    <row r="33" spans="2:24" s="25" customFormat="1" ht="16.5" x14ac:dyDescent="0.2">
      <c r="B33" s="252" t="s">
        <v>234</v>
      </c>
      <c r="I33" s="39"/>
      <c r="J33" s="39"/>
      <c r="K33" s="1063" t="s">
        <v>125</v>
      </c>
      <c r="L33" s="1115"/>
      <c r="M33" s="414"/>
      <c r="N33" s="1065">
        <f>IF(T27=TRUE,'Grundlagen GRUD'!C$103*M33,'Grundlagen GRUD'!D$103*M33)</f>
        <v>0</v>
      </c>
      <c r="O33" s="1066"/>
      <c r="P33" s="83"/>
      <c r="Q33" s="543"/>
      <c r="R33" s="543"/>
      <c r="S33" s="543"/>
      <c r="T33" s="543"/>
      <c r="U33" s="543"/>
      <c r="V33" s="543"/>
      <c r="W33" s="543"/>
      <c r="X33" s="83"/>
    </row>
    <row r="34" spans="2:24" ht="19.5" customHeight="1" x14ac:dyDescent="0.2">
      <c r="B34" s="38" t="s">
        <v>157</v>
      </c>
      <c r="C34" s="39"/>
      <c r="D34" s="39"/>
      <c r="E34" s="39"/>
      <c r="F34" s="39"/>
      <c r="G34" s="39"/>
      <c r="H34" s="39"/>
      <c r="I34" s="39"/>
      <c r="J34" s="39"/>
      <c r="K34" s="1063" t="s">
        <v>125</v>
      </c>
      <c r="L34" s="1115"/>
      <c r="M34" s="415"/>
      <c r="N34" s="1065">
        <f>IF(T27=TRUE,'Grundlagen GRUD'!C$103*M34,'Grundlagen GRUD'!D$103*M34)</f>
        <v>0</v>
      </c>
      <c r="O34" s="1066"/>
      <c r="Q34" s="540" t="s">
        <v>37</v>
      </c>
    </row>
    <row r="35" spans="2:24" ht="21.75" customHeight="1" x14ac:dyDescent="0.25">
      <c r="B35" s="503" t="s">
        <v>209</v>
      </c>
      <c r="C35" s="70"/>
      <c r="D35" s="70"/>
      <c r="E35" s="70"/>
      <c r="F35" s="70"/>
      <c r="G35" s="902"/>
      <c r="H35" s="903"/>
      <c r="I35" s="903"/>
      <c r="J35" s="903"/>
      <c r="K35" s="70"/>
      <c r="L35" s="514"/>
      <c r="M35" s="516"/>
      <c r="N35" s="1134"/>
      <c r="O35" s="1135"/>
      <c r="Q35" s="540">
        <v>1</v>
      </c>
      <c r="S35" s="540" t="b">
        <v>0</v>
      </c>
    </row>
    <row r="36" spans="2:24" ht="20.25" customHeight="1" thickBot="1" x14ac:dyDescent="0.3">
      <c r="B36" s="259" t="s">
        <v>283</v>
      </c>
      <c r="C36" s="1089"/>
      <c r="D36" s="1090"/>
      <c r="E36" s="1090"/>
      <c r="F36" s="1090"/>
      <c r="G36" s="1090"/>
      <c r="H36" s="1090"/>
      <c r="I36" s="1090"/>
      <c r="J36" s="1090"/>
      <c r="K36" s="1090"/>
      <c r="L36" s="1138"/>
      <c r="M36" s="515"/>
      <c r="N36" s="1136"/>
      <c r="O36" s="1137"/>
    </row>
    <row r="37" spans="2:24" s="25" customFormat="1" ht="26.25" customHeight="1" thickBot="1" x14ac:dyDescent="0.45">
      <c r="B37" s="289" t="s">
        <v>176</v>
      </c>
      <c r="C37" s="263"/>
      <c r="D37" s="263"/>
      <c r="E37" s="94"/>
      <c r="F37" s="94"/>
      <c r="G37" s="94"/>
      <c r="H37" s="94"/>
      <c r="I37" s="94"/>
      <c r="J37" s="94"/>
      <c r="K37" s="94"/>
      <c r="L37" s="290"/>
      <c r="M37" s="94"/>
      <c r="N37" s="1141">
        <f>SUM(N9:N35)</f>
        <v>0</v>
      </c>
      <c r="O37" s="1142"/>
      <c r="P37" s="83"/>
      <c r="Q37" s="543"/>
      <c r="R37" s="543"/>
      <c r="S37" s="543"/>
      <c r="T37" s="543"/>
      <c r="U37" s="543"/>
      <c r="V37" s="543"/>
      <c r="W37" s="543"/>
      <c r="X37" s="83"/>
    </row>
    <row r="38" spans="2:24" s="25" customFormat="1" ht="27" customHeight="1" thickBot="1" x14ac:dyDescent="0.25">
      <c r="B38" s="8"/>
      <c r="C38" s="8"/>
      <c r="D38" s="8"/>
      <c r="E38" s="8"/>
      <c r="F38" s="8"/>
      <c r="G38" s="8"/>
      <c r="H38" s="8"/>
      <c r="I38" s="8"/>
      <c r="J38" s="8"/>
      <c r="K38" s="12"/>
      <c r="L38" s="108"/>
      <c r="M38" s="291"/>
      <c r="N38" s="291"/>
      <c r="O38" s="291"/>
      <c r="P38" s="83"/>
      <c r="Q38" s="543"/>
      <c r="R38" s="543"/>
      <c r="S38" s="543"/>
      <c r="T38" s="543"/>
      <c r="U38" s="543"/>
      <c r="V38" s="543"/>
      <c r="W38" s="543"/>
      <c r="X38" s="83"/>
    </row>
    <row r="39" spans="2:24" s="25" customFormat="1" ht="75.75" customHeight="1" thickBot="1" x14ac:dyDescent="0.45">
      <c r="B39" s="268" t="s">
        <v>229</v>
      </c>
      <c r="C39" s="182"/>
      <c r="D39" s="182"/>
      <c r="E39" s="101"/>
      <c r="F39" s="1069" t="s">
        <v>205</v>
      </c>
      <c r="G39" s="1070"/>
      <c r="H39" s="1069" t="s">
        <v>206</v>
      </c>
      <c r="I39" s="1070"/>
      <c r="J39" s="1069" t="s">
        <v>207</v>
      </c>
      <c r="K39" s="1070"/>
      <c r="L39" s="1071"/>
      <c r="M39" s="1072"/>
      <c r="N39" s="1105" t="s">
        <v>225</v>
      </c>
      <c r="O39" s="1106"/>
      <c r="P39" s="83"/>
      <c r="Q39" s="543"/>
      <c r="R39" s="543"/>
      <c r="S39" s="543" t="b">
        <v>0</v>
      </c>
      <c r="T39" s="543" t="b">
        <v>0</v>
      </c>
      <c r="U39" s="543" t="b">
        <f>IF(AND(S39=TRUE,T39=TRUE),TRUE,FALSE)</f>
        <v>0</v>
      </c>
      <c r="V39" s="543"/>
      <c r="W39" s="543"/>
      <c r="X39" s="83"/>
    </row>
    <row r="40" spans="2:24" s="25" customFormat="1" ht="17.25" customHeight="1" x14ac:dyDescent="0.3">
      <c r="B40" s="1133" t="s">
        <v>202</v>
      </c>
      <c r="C40" s="901"/>
      <c r="D40" s="901"/>
      <c r="E40" s="901"/>
      <c r="F40" s="1139"/>
      <c r="G40" s="1140"/>
      <c r="H40" s="1128"/>
      <c r="I40" s="1129"/>
      <c r="J40" s="416"/>
      <c r="K40" s="417"/>
      <c r="L40" s="151"/>
      <c r="M40" s="292"/>
      <c r="N40" s="1103" t="str">
        <f>IF(T39=TRUE,F40*'Grundlagen GRUD'!C115,"")</f>
        <v/>
      </c>
      <c r="O40" s="1104"/>
      <c r="P40" s="83"/>
      <c r="Q40" s="543"/>
      <c r="R40" s="543"/>
      <c r="S40" s="543" t="b">
        <v>0</v>
      </c>
      <c r="T40" s="543" t="b">
        <v>0</v>
      </c>
      <c r="U40" s="543" t="b">
        <f>IF(AND(S40=TRUE,T40=TRUE),TRUE,FALSE)</f>
        <v>0</v>
      </c>
      <c r="V40" s="543"/>
      <c r="W40" s="543"/>
      <c r="X40" s="83"/>
    </row>
    <row r="41" spans="2:24" s="25" customFormat="1" ht="17.25" customHeight="1" x14ac:dyDescent="0.2">
      <c r="B41" s="812" t="s">
        <v>203</v>
      </c>
      <c r="C41" s="813"/>
      <c r="D41" s="813"/>
      <c r="E41" s="814"/>
      <c r="F41" s="1113"/>
      <c r="G41" s="1114"/>
      <c r="H41" s="1073"/>
      <c r="I41" s="1074"/>
      <c r="J41" s="525"/>
      <c r="K41" s="418"/>
      <c r="L41" s="133"/>
      <c r="M41" s="293"/>
      <c r="N41" s="1093" t="str">
        <f>IF(T40=TRUE,F41*'Grundlagen GRUD'!C115,"")</f>
        <v/>
      </c>
      <c r="O41" s="1094"/>
      <c r="P41" s="83"/>
      <c r="Q41" s="543"/>
      <c r="R41" s="543"/>
      <c r="S41" s="543" t="b">
        <v>0</v>
      </c>
      <c r="T41" s="543" t="b">
        <v>0</v>
      </c>
      <c r="U41" s="543" t="b">
        <f>IF(AND(S41=TRUE,T41=TRUE),TRUE,FALSE)</f>
        <v>0</v>
      </c>
      <c r="V41" s="543"/>
      <c r="W41" s="543"/>
      <c r="X41" s="83"/>
    </row>
    <row r="42" spans="2:24" s="25" customFormat="1" ht="18.75" customHeight="1" x14ac:dyDescent="0.2">
      <c r="B42" s="812" t="s">
        <v>204</v>
      </c>
      <c r="C42" s="813"/>
      <c r="D42" s="813"/>
      <c r="E42" s="814"/>
      <c r="F42" s="1113"/>
      <c r="G42" s="1114"/>
      <c r="H42" s="1073"/>
      <c r="I42" s="1074"/>
      <c r="J42" s="524"/>
      <c r="K42" s="418"/>
      <c r="L42" s="133"/>
      <c r="M42" s="293"/>
      <c r="N42" s="1093" t="str">
        <f>IF(T41=TRUE,F42*'Grundlagen GRUD'!C115,"")</f>
        <v/>
      </c>
      <c r="O42" s="1094"/>
      <c r="P42" s="83"/>
      <c r="Q42" s="543"/>
      <c r="R42" s="543"/>
      <c r="S42" s="543"/>
      <c r="T42" s="543"/>
      <c r="U42" s="543"/>
      <c r="V42" s="543"/>
      <c r="W42" s="543"/>
      <c r="X42" s="83"/>
    </row>
    <row r="43" spans="2:24" s="25" customFormat="1" ht="21" customHeight="1" x14ac:dyDescent="0.2">
      <c r="B43" s="991" t="s">
        <v>208</v>
      </c>
      <c r="C43" s="902"/>
      <c r="D43" s="902"/>
      <c r="E43" s="902"/>
      <c r="F43" s="902"/>
      <c r="G43" s="902"/>
      <c r="H43" s="902"/>
      <c r="I43" s="902"/>
      <c r="J43" s="902"/>
      <c r="K43" s="902"/>
      <c r="L43" s="902"/>
      <c r="M43" s="517"/>
      <c r="N43" s="1085"/>
      <c r="O43" s="1086"/>
      <c r="P43" s="83"/>
      <c r="Q43" s="543"/>
      <c r="R43" s="543"/>
      <c r="S43" s="543" t="b">
        <v>0</v>
      </c>
      <c r="T43" s="543" t="b">
        <v>0</v>
      </c>
      <c r="U43" s="543"/>
      <c r="V43" s="543"/>
      <c r="W43" s="543"/>
      <c r="X43" s="83"/>
    </row>
    <row r="44" spans="2:24" s="25" customFormat="1" ht="21" customHeight="1" thickBot="1" x14ac:dyDescent="0.25">
      <c r="B44" s="259" t="s">
        <v>284</v>
      </c>
      <c r="C44" s="1089"/>
      <c r="D44" s="1090"/>
      <c r="E44" s="1090"/>
      <c r="F44" s="1090"/>
      <c r="G44" s="1090"/>
      <c r="H44" s="1090"/>
      <c r="I44" s="1090"/>
      <c r="J44" s="1090"/>
      <c r="K44" s="1090"/>
      <c r="L44" s="1090"/>
      <c r="M44" s="1091"/>
      <c r="N44" s="1087"/>
      <c r="O44" s="1088"/>
      <c r="P44" s="83"/>
      <c r="Q44" s="543"/>
      <c r="R44" s="543"/>
      <c r="S44" s="543"/>
      <c r="T44" s="543"/>
      <c r="U44" s="543"/>
      <c r="V44" s="543"/>
      <c r="W44" s="543"/>
      <c r="X44" s="83"/>
    </row>
    <row r="45" spans="2:24" s="15" customFormat="1" ht="25.5" customHeight="1" thickBot="1" x14ac:dyDescent="0.45">
      <c r="B45" s="289" t="s">
        <v>197</v>
      </c>
      <c r="C45" s="294"/>
      <c r="D45" s="294"/>
      <c r="E45" s="294"/>
      <c r="F45" s="1107" t="str">
        <f>IF(OR(U39,U40,U41=TRUE),"Achtung Doppeleintrag beim Kanalisationsanschluss", "")</f>
        <v/>
      </c>
      <c r="G45" s="1108"/>
      <c r="H45" s="1108"/>
      <c r="I45" s="1108"/>
      <c r="J45" s="1108"/>
      <c r="K45" s="1108"/>
      <c r="L45" s="1108"/>
      <c r="M45" s="1109"/>
      <c r="N45" s="1081">
        <f>SUM(N40:N43)</f>
        <v>0</v>
      </c>
      <c r="O45" s="1082"/>
      <c r="P45" s="221"/>
      <c r="Q45" s="541"/>
      <c r="R45" s="541"/>
      <c r="S45" s="541"/>
      <c r="T45" s="541"/>
      <c r="U45" s="541"/>
      <c r="V45" s="541"/>
      <c r="W45" s="541"/>
      <c r="X45" s="221"/>
    </row>
    <row r="46" spans="2:24" s="15" customFormat="1" ht="18" customHeight="1" x14ac:dyDescent="0.2">
      <c r="B46" s="295"/>
      <c r="C46" s="296"/>
      <c r="D46" s="296"/>
      <c r="E46" s="296"/>
      <c r="F46" s="296"/>
      <c r="G46" s="296"/>
      <c r="H46" s="296"/>
      <c r="I46" s="296"/>
      <c r="J46" s="296"/>
      <c r="K46" s="296"/>
      <c r="L46" s="297"/>
      <c r="M46" s="298"/>
      <c r="N46" s="299"/>
      <c r="O46" s="296"/>
      <c r="P46" s="221"/>
      <c r="Q46" s="541"/>
      <c r="R46" s="541"/>
      <c r="S46" s="541"/>
      <c r="T46" s="541"/>
      <c r="U46" s="541"/>
      <c r="V46" s="541"/>
      <c r="W46" s="541"/>
      <c r="X46" s="221"/>
    </row>
    <row r="47" spans="2:24" ht="13.5" hidden="1" customHeight="1" x14ac:dyDescent="0.2">
      <c r="B47" s="295"/>
      <c r="C47" s="296"/>
      <c r="D47" s="296"/>
      <c r="E47" s="296"/>
      <c r="F47" s="296"/>
      <c r="G47" s="296"/>
      <c r="H47" s="296"/>
      <c r="I47" s="296"/>
      <c r="J47" s="296"/>
      <c r="K47" s="296"/>
      <c r="L47" s="297"/>
      <c r="M47" s="298"/>
      <c r="N47" s="299"/>
      <c r="O47" s="296"/>
    </row>
    <row r="48" spans="2:24" ht="18.75" customHeight="1" x14ac:dyDescent="0.45">
      <c r="B48" s="227" t="s">
        <v>228</v>
      </c>
      <c r="C48" s="224"/>
      <c r="D48" s="224"/>
      <c r="E48" s="224"/>
      <c r="F48" s="224"/>
      <c r="G48" s="224"/>
      <c r="H48" s="224"/>
      <c r="I48" s="224"/>
      <c r="J48" s="224"/>
      <c r="K48" s="224"/>
      <c r="L48" s="300"/>
      <c r="M48" s="301"/>
      <c r="N48" s="302"/>
      <c r="O48" s="224"/>
    </row>
    <row r="49" spans="2:15" ht="8.25" customHeight="1" thickBot="1" x14ac:dyDescent="0.4">
      <c r="B49" s="303"/>
      <c r="C49" s="22"/>
      <c r="D49" s="22"/>
      <c r="E49" s="22"/>
      <c r="F49" s="22"/>
      <c r="G49" s="22"/>
      <c r="H49" s="22"/>
      <c r="I49" s="22"/>
      <c r="J49" s="22"/>
      <c r="K49" s="22"/>
      <c r="L49" s="15"/>
      <c r="M49" s="304"/>
      <c r="N49" s="22"/>
      <c r="O49" s="22"/>
    </row>
    <row r="50" spans="2:15" x14ac:dyDescent="0.2">
      <c r="B50" s="305"/>
      <c r="C50" s="101"/>
      <c r="D50" s="101"/>
      <c r="E50" s="101"/>
      <c r="F50" s="1126"/>
      <c r="J50" s="1075" t="s">
        <v>279</v>
      </c>
      <c r="K50" s="1076"/>
      <c r="L50" s="1076"/>
      <c r="M50" s="1076"/>
      <c r="N50" s="1076"/>
      <c r="O50" s="1077"/>
    </row>
    <row r="51" spans="2:15" ht="20.100000000000001" customHeight="1" thickBot="1" x14ac:dyDescent="0.45">
      <c r="B51" s="919" t="s">
        <v>198</v>
      </c>
      <c r="C51" s="1123"/>
      <c r="D51" s="1123"/>
      <c r="E51" s="1123"/>
      <c r="F51" s="1127"/>
      <c r="J51" s="1078"/>
      <c r="K51" s="1079"/>
      <c r="L51" s="1079"/>
      <c r="M51" s="1079"/>
      <c r="N51" s="1079"/>
      <c r="O51" s="1080"/>
    </row>
    <row r="52" spans="2:15" ht="20.100000000000001" customHeight="1" x14ac:dyDescent="0.2">
      <c r="B52" s="271" t="s">
        <v>162</v>
      </c>
      <c r="C52" s="37"/>
      <c r="D52" s="272"/>
      <c r="E52" s="1092">
        <f>INT(SUM(Hofdüngeranlagen!N9:O15)+SUM(Hofdüngeranlagen!N20:O26))</f>
        <v>0</v>
      </c>
      <c r="F52" s="1084"/>
      <c r="G52" s="55"/>
      <c r="H52" s="55"/>
      <c r="I52" s="306"/>
      <c r="J52" s="910" t="s">
        <v>162</v>
      </c>
      <c r="K52" s="911"/>
      <c r="L52" s="911"/>
      <c r="M52" s="1130"/>
      <c r="N52" s="1083">
        <f>INT(SUM(Hofdüngeranlagen!N29:O34))</f>
        <v>0</v>
      </c>
      <c r="O52" s="1084"/>
    </row>
    <row r="53" spans="2:15" ht="20.100000000000001" customHeight="1" x14ac:dyDescent="0.2">
      <c r="B53" s="936" t="s">
        <v>163</v>
      </c>
      <c r="C53" s="937"/>
      <c r="D53" s="1143"/>
      <c r="E53" s="1144"/>
      <c r="F53" s="1145"/>
      <c r="G53" s="55"/>
      <c r="H53" s="55"/>
      <c r="I53" s="306"/>
      <c r="J53" s="936" t="s">
        <v>163</v>
      </c>
      <c r="K53" s="937"/>
      <c r="L53" s="937"/>
      <c r="M53" s="1056"/>
      <c r="N53" s="1146"/>
      <c r="O53" s="1145"/>
    </row>
    <row r="54" spans="2:15" ht="20.100000000000001" customHeight="1" x14ac:dyDescent="0.2">
      <c r="B54" s="754" t="s">
        <v>366</v>
      </c>
      <c r="C54" s="745"/>
      <c r="D54" s="755"/>
      <c r="E54" s="1124">
        <f>Hofdüngeranlagen!N16</f>
        <v>0</v>
      </c>
      <c r="F54" s="1147"/>
      <c r="G54" s="55"/>
      <c r="H54" s="55"/>
      <c r="I54" s="306"/>
      <c r="J54" s="744" t="s">
        <v>366</v>
      </c>
      <c r="K54" s="745"/>
      <c r="L54" s="745"/>
      <c r="M54" s="756"/>
      <c r="N54" s="1148">
        <f>Hofdüngeranlagen!N35</f>
        <v>0</v>
      </c>
      <c r="O54" s="1147"/>
    </row>
    <row r="55" spans="2:15" ht="20.100000000000001" customHeight="1" thickBot="1" x14ac:dyDescent="0.25">
      <c r="B55" s="271" t="s">
        <v>367</v>
      </c>
      <c r="C55" s="39"/>
      <c r="D55" s="256"/>
      <c r="E55" s="1124">
        <f>Hofdüngeranlagen!N17</f>
        <v>0</v>
      </c>
      <c r="F55" s="1125"/>
      <c r="G55" s="55"/>
      <c r="H55" s="300"/>
      <c r="I55" s="307"/>
      <c r="J55" s="812" t="s">
        <v>367</v>
      </c>
      <c r="K55" s="1121"/>
      <c r="L55" s="1121"/>
      <c r="M55" s="1122"/>
      <c r="N55" s="1099">
        <f>Hofdüngeranlagen!N36</f>
        <v>0</v>
      </c>
      <c r="O55" s="1100"/>
    </row>
    <row r="56" spans="2:15" ht="27" customHeight="1" thickBot="1" x14ac:dyDescent="0.45">
      <c r="B56" s="264" t="s">
        <v>199</v>
      </c>
      <c r="C56" s="308"/>
      <c r="D56" s="308"/>
      <c r="E56" s="1067">
        <f>SUM(E52:F54)-E55</f>
        <v>0</v>
      </c>
      <c r="F56" s="1068"/>
      <c r="G56" s="24"/>
      <c r="H56" s="24"/>
      <c r="I56" s="24"/>
      <c r="J56" s="264" t="s">
        <v>200</v>
      </c>
      <c r="K56" s="308"/>
      <c r="L56" s="309"/>
      <c r="M56" s="310"/>
      <c r="N56" s="1097">
        <f>SUM(N52:O54)-N55</f>
        <v>0</v>
      </c>
      <c r="O56" s="1098"/>
    </row>
    <row r="57" spans="2:15" x14ac:dyDescent="0.2">
      <c r="L57" s="8"/>
      <c r="M57" s="108"/>
    </row>
  </sheetData>
  <sheetProtection password="C917" sheet="1" selectLockedCells="1"/>
  <dataConsolidate/>
  <mergeCells count="97">
    <mergeCell ref="B53:D53"/>
    <mergeCell ref="J53:M53"/>
    <mergeCell ref="E53:F53"/>
    <mergeCell ref="N53:O53"/>
    <mergeCell ref="E54:F54"/>
    <mergeCell ref="N54:O54"/>
    <mergeCell ref="B40:E40"/>
    <mergeCell ref="K31:L31"/>
    <mergeCell ref="N32:O32"/>
    <mergeCell ref="B41:E41"/>
    <mergeCell ref="K34:L34"/>
    <mergeCell ref="N35:O36"/>
    <mergeCell ref="C36:L36"/>
    <mergeCell ref="F40:G40"/>
    <mergeCell ref="N37:O37"/>
    <mergeCell ref="K9:L9"/>
    <mergeCell ref="K33:L33"/>
    <mergeCell ref="K32:L32"/>
    <mergeCell ref="N26:O26"/>
    <mergeCell ref="F41:G41"/>
    <mergeCell ref="N28:O28"/>
    <mergeCell ref="N18:O18"/>
    <mergeCell ref="N19:O19"/>
    <mergeCell ref="N20:O20"/>
    <mergeCell ref="N14:O14"/>
    <mergeCell ref="N15:O15"/>
    <mergeCell ref="N16:O16"/>
    <mergeCell ref="N13:O13"/>
    <mergeCell ref="E18:L18"/>
    <mergeCell ref="E21:L21"/>
    <mergeCell ref="K16:L16"/>
    <mergeCell ref="C3:D3"/>
    <mergeCell ref="J55:M55"/>
    <mergeCell ref="B51:E51"/>
    <mergeCell ref="B43:L43"/>
    <mergeCell ref="E55:F55"/>
    <mergeCell ref="F3:G3"/>
    <mergeCell ref="F50:F51"/>
    <mergeCell ref="E22:L22"/>
    <mergeCell ref="H40:I40"/>
    <mergeCell ref="K30:L30"/>
    <mergeCell ref="B42:E42"/>
    <mergeCell ref="J52:M52"/>
    <mergeCell ref="C24:I24"/>
    <mergeCell ref="K13:L13"/>
    <mergeCell ref="K14:L14"/>
    <mergeCell ref="K15:L15"/>
    <mergeCell ref="F45:M45"/>
    <mergeCell ref="L2:M2"/>
    <mergeCell ref="N5:O5"/>
    <mergeCell ref="N8:O8"/>
    <mergeCell ref="K11:L11"/>
    <mergeCell ref="H3:K3"/>
    <mergeCell ref="F42:G42"/>
    <mergeCell ref="N25:O25"/>
    <mergeCell ref="K28:L28"/>
    <mergeCell ref="N30:O30"/>
    <mergeCell ref="G35:J35"/>
    <mergeCell ref="E19:L19"/>
    <mergeCell ref="K10:L10"/>
    <mergeCell ref="J12:L12"/>
    <mergeCell ref="N6:O6"/>
    <mergeCell ref="N12:O12"/>
    <mergeCell ref="N56:O56"/>
    <mergeCell ref="N55:O55"/>
    <mergeCell ref="N34:O34"/>
    <mergeCell ref="N31:O31"/>
    <mergeCell ref="N33:O33"/>
    <mergeCell ref="N42:O42"/>
    <mergeCell ref="N40:O40"/>
    <mergeCell ref="N39:O39"/>
    <mergeCell ref="N3:O3"/>
    <mergeCell ref="N4:O4"/>
    <mergeCell ref="N10:O10"/>
    <mergeCell ref="N11:O11"/>
    <mergeCell ref="N9:O9"/>
    <mergeCell ref="N21:O21"/>
    <mergeCell ref="N17:O17"/>
    <mergeCell ref="N24:O24"/>
    <mergeCell ref="N23:O23"/>
    <mergeCell ref="N22:O22"/>
    <mergeCell ref="K29:L29"/>
    <mergeCell ref="N29:O29"/>
    <mergeCell ref="E56:F56"/>
    <mergeCell ref="H39:I39"/>
    <mergeCell ref="L39:M39"/>
    <mergeCell ref="J39:K39"/>
    <mergeCell ref="F39:G39"/>
    <mergeCell ref="H41:I41"/>
    <mergeCell ref="H42:I42"/>
    <mergeCell ref="J50:O51"/>
    <mergeCell ref="N45:O45"/>
    <mergeCell ref="N52:O52"/>
    <mergeCell ref="N43:O44"/>
    <mergeCell ref="C44:M44"/>
    <mergeCell ref="E52:F52"/>
    <mergeCell ref="N41:O41"/>
  </mergeCells>
  <phoneticPr fontId="0" type="noConversion"/>
  <dataValidations count="2">
    <dataValidation type="whole" allowBlank="1" showInputMessage="1" showErrorMessage="1" errorTitle="Ungültiger Wert" error="Bitte geben Sie eine gültige Anzahl ein." sqref="M28:M34 F40:I42 M18:M24">
      <formula1>0</formula1>
      <formula2>9999</formula2>
    </dataValidation>
    <dataValidation type="whole" allowBlank="1" showInputMessage="1" showErrorMessage="1" errorTitle="Ungültiger Wert" error="Bitte geben Sie eine gültige Anzahl ein." sqref="N52:N55 E52:E55 O52 O55">
      <formula1>1</formula1>
      <formula2>99999</formula2>
    </dataValidation>
  </dataValidations>
  <printOptions horizontalCentered="1"/>
  <pageMargins left="0.39370078740157483" right="0.39370078740157483" top="0.35" bottom="0.43" header="0.22" footer="0.21"/>
  <pageSetup paperSize="9" scale="71" fitToHeight="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18" r:id="rId4" name="ja">
              <controlPr locked="0" defaultSize="0" autoFill="0" autoLine="0" autoPict="0">
                <anchor moveWithCells="1">
                  <from>
                    <xdr:col>9</xdr:col>
                    <xdr:colOff>180975</xdr:colOff>
                    <xdr:row>39</xdr:row>
                    <xdr:rowOff>57150</xdr:rowOff>
                  </from>
                  <to>
                    <xdr:col>10</xdr:col>
                    <xdr:colOff>19050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9" r:id="rId5" name="Check Box 55">
              <controlPr locked="0" defaultSize="0" autoFill="0" autoLine="0" autoPict="0" altText="Ja">
                <anchor moveWithCells="1">
                  <from>
                    <xdr:col>9</xdr:col>
                    <xdr:colOff>485775</xdr:colOff>
                    <xdr:row>39</xdr:row>
                    <xdr:rowOff>38100</xdr:rowOff>
                  </from>
                  <to>
                    <xdr:col>10</xdr:col>
                    <xdr:colOff>314325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0" r:id="rId6" name="Check Box 56">
              <controlPr locked="0" defaultSize="0" autoFill="0" autoLine="0" autoPict="0">
                <anchor moveWithCells="1">
                  <from>
                    <xdr:col>9</xdr:col>
                    <xdr:colOff>180975</xdr:colOff>
                    <xdr:row>40</xdr:row>
                    <xdr:rowOff>57150</xdr:rowOff>
                  </from>
                  <to>
                    <xdr:col>10</xdr:col>
                    <xdr:colOff>19050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1" r:id="rId7" name="Check Box 57">
              <controlPr locked="0" defaultSize="0" autoFill="0" autoLine="0" autoPict="0">
                <anchor moveWithCells="1">
                  <from>
                    <xdr:col>9</xdr:col>
                    <xdr:colOff>180975</xdr:colOff>
                    <xdr:row>41</xdr:row>
                    <xdr:rowOff>57150</xdr:rowOff>
                  </from>
                  <to>
                    <xdr:col>10</xdr:col>
                    <xdr:colOff>19050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2" r:id="rId8" name="Check Box 58">
              <controlPr locked="0" defaultSize="0" autoFill="0" autoLine="0" autoPict="0" altText="Ja">
                <anchor moveWithCells="1">
                  <from>
                    <xdr:col>9</xdr:col>
                    <xdr:colOff>485775</xdr:colOff>
                    <xdr:row>40</xdr:row>
                    <xdr:rowOff>19050</xdr:rowOff>
                  </from>
                  <to>
                    <xdr:col>10</xdr:col>
                    <xdr:colOff>314325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3" r:id="rId9" name="Check Box 59">
              <controlPr locked="0" defaultSize="0" autoFill="0" autoLine="0" autoPict="0" altText="Ja">
                <anchor moveWithCells="1">
                  <from>
                    <xdr:col>9</xdr:col>
                    <xdr:colOff>485775</xdr:colOff>
                    <xdr:row>41</xdr:row>
                    <xdr:rowOff>19050</xdr:rowOff>
                  </from>
                  <to>
                    <xdr:col>10</xdr:col>
                    <xdr:colOff>323850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7" r:id="rId10" name="Check Box 63">
              <controlPr locked="0" defaultSize="0" autoFill="0" autoLine="0" autoPict="0">
                <anchor moveWithCells="1">
                  <from>
                    <xdr:col>6</xdr:col>
                    <xdr:colOff>28575</xdr:colOff>
                    <xdr:row>34</xdr:row>
                    <xdr:rowOff>104775</xdr:rowOff>
                  </from>
                  <to>
                    <xdr:col>10</xdr:col>
                    <xdr:colOff>276225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8" r:id="rId11" name="Check Box 64">
              <controlPr locked="0" defaultSize="0" autoFill="0" autoLine="0" autoPict="0">
                <anchor moveWithCells="1">
                  <from>
                    <xdr:col>7</xdr:col>
                    <xdr:colOff>295275</xdr:colOff>
                    <xdr:row>42</xdr:row>
                    <xdr:rowOff>95250</xdr:rowOff>
                  </from>
                  <to>
                    <xdr:col>9</xdr:col>
                    <xdr:colOff>419100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9" r:id="rId12" name="Check Box 65">
              <controlPr locked="0" defaultSize="0" autoFill="0" autoLine="0" autoPict="0">
                <anchor moveWithCells="1">
                  <from>
                    <xdr:col>9</xdr:col>
                    <xdr:colOff>485775</xdr:colOff>
                    <xdr:row>42</xdr:row>
                    <xdr:rowOff>85725</xdr:rowOff>
                  </from>
                  <to>
                    <xdr:col>12</xdr:col>
                    <xdr:colOff>323850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1" r:id="rId13" name="Check Box 67">
              <controlPr locked="0" defaultSize="0" autoFill="0" autoLine="0" autoPict="0">
                <anchor moveWithCells="1">
                  <from>
                    <xdr:col>8</xdr:col>
                    <xdr:colOff>19050</xdr:colOff>
                    <xdr:row>26</xdr:row>
                    <xdr:rowOff>28575</xdr:rowOff>
                  </from>
                  <to>
                    <xdr:col>10</xdr:col>
                    <xdr:colOff>133350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6" r:id="rId14" name="Check Box 72">
              <controlPr locked="0" defaultSize="0" autoFill="0" autoLine="0" autoPict="0">
                <anchor moveWithCells="1">
                  <from>
                    <xdr:col>3</xdr:col>
                    <xdr:colOff>152400</xdr:colOff>
                    <xdr:row>12</xdr:row>
                    <xdr:rowOff>28575</xdr:rowOff>
                  </from>
                  <to>
                    <xdr:col>8</xdr:col>
                    <xdr:colOff>323850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7" r:id="rId15" name="Check Box 73">
              <controlPr locked="0" defaultSize="0" autoFill="0" autoLine="0" autoPict="0">
                <anchor moveWithCells="1">
                  <from>
                    <xdr:col>3</xdr:col>
                    <xdr:colOff>28575</xdr:colOff>
                    <xdr:row>26</xdr:row>
                    <xdr:rowOff>28575</xdr:rowOff>
                  </from>
                  <to>
                    <xdr:col>7</xdr:col>
                    <xdr:colOff>219075</xdr:colOff>
                    <xdr:row>26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indexed="10"/>
    <pageSetUpPr fitToPage="1"/>
  </sheetPr>
  <dimension ref="A1:X37"/>
  <sheetViews>
    <sheetView showGridLines="0" showZeros="0" zoomScaleNormal="100" workbookViewId="0">
      <selection activeCell="J10" sqref="J10"/>
    </sheetView>
  </sheetViews>
  <sheetFormatPr baseColWidth="10" defaultColWidth="11.42578125" defaultRowHeight="12.75" x14ac:dyDescent="0.2"/>
  <cols>
    <col min="1" max="1" width="11.42578125" style="12"/>
    <col min="2" max="8" width="6.5703125" style="12" customWidth="1"/>
    <col min="9" max="9" width="9.85546875" style="12" customWidth="1"/>
    <col min="10" max="12" width="6.5703125" style="12" customWidth="1"/>
    <col min="13" max="13" width="15.42578125" style="12" customWidth="1"/>
    <col min="14" max="16384" width="11.42578125" style="12"/>
  </cols>
  <sheetData>
    <row r="1" spans="1:24" s="8" customFormat="1" ht="72" customHeight="1" thickBot="1" x14ac:dyDescent="0.3">
      <c r="A1" s="213"/>
      <c r="B1" s="30"/>
      <c r="C1" s="30"/>
      <c r="D1" s="30"/>
      <c r="E1" s="30"/>
      <c r="F1" s="30"/>
      <c r="G1" s="30"/>
      <c r="H1" s="30"/>
      <c r="I1" s="213"/>
      <c r="J1" s="214"/>
      <c r="K1" s="214"/>
      <c r="L1" s="30"/>
      <c r="N1" s="215" t="str">
        <f>'Adresse + Ergebnis '!A3</f>
        <v xml:space="preserve">Grundlage: GRUD 2017 </v>
      </c>
      <c r="O1" s="30"/>
      <c r="P1" s="104"/>
      <c r="Q1" s="104"/>
      <c r="R1" s="104"/>
      <c r="S1" s="104"/>
      <c r="T1" s="104"/>
      <c r="U1" s="104"/>
      <c r="V1" s="104"/>
      <c r="W1" s="104"/>
      <c r="X1" s="104"/>
    </row>
    <row r="2" spans="1:24" s="8" customFormat="1" ht="41.25" customHeight="1" x14ac:dyDescent="0.45">
      <c r="A2" s="216" t="s">
        <v>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M2" s="218"/>
      <c r="N2" s="219">
        <f>'Adresse + Ergebnis '!N2:O2</f>
        <v>0</v>
      </c>
      <c r="O2" s="219" t="s">
        <v>345</v>
      </c>
      <c r="P2" s="104"/>
      <c r="Q2" s="104"/>
      <c r="R2" s="104"/>
      <c r="S2" s="104"/>
      <c r="T2" s="104"/>
      <c r="U2" s="104"/>
      <c r="V2" s="104"/>
      <c r="W2" s="104"/>
      <c r="X2" s="104"/>
    </row>
    <row r="3" spans="1:24" s="15" customFormat="1" ht="39" customHeight="1" x14ac:dyDescent="0.25">
      <c r="A3" s="25" t="s">
        <v>1</v>
      </c>
      <c r="B3" s="1120">
        <f>'Adresse + Ergebnis '!B5</f>
        <v>0</v>
      </c>
      <c r="C3" s="1120"/>
      <c r="E3" s="907" t="s">
        <v>114</v>
      </c>
      <c r="F3" s="907"/>
      <c r="G3" s="905" t="str">
        <f>'Abwasser, Hofdüngerlager'!H3</f>
        <v xml:space="preserve"> </v>
      </c>
      <c r="H3" s="905"/>
      <c r="I3" s="905"/>
      <c r="J3" s="905"/>
      <c r="L3" s="220" t="s">
        <v>2</v>
      </c>
      <c r="N3" s="906">
        <f>'Abwasser, Hofdüngerlager'!N3:O3</f>
        <v>0</v>
      </c>
      <c r="O3" s="906"/>
      <c r="P3" s="221"/>
      <c r="Q3" s="221"/>
      <c r="R3" s="221"/>
      <c r="S3" s="221"/>
      <c r="T3" s="221"/>
      <c r="U3" s="221"/>
      <c r="V3" s="221"/>
      <c r="W3" s="221"/>
      <c r="X3" s="221"/>
    </row>
    <row r="4" spans="1:24" s="23" customFormat="1" ht="20.25" customHeight="1" x14ac:dyDescent="0.25">
      <c r="A4" s="15"/>
      <c r="C4" s="22"/>
      <c r="E4" s="15"/>
      <c r="H4" s="222"/>
      <c r="I4" s="223"/>
      <c r="J4" s="12"/>
      <c r="L4" s="224" t="s">
        <v>34</v>
      </c>
      <c r="N4" s="878">
        <f>'Adresse + Ergebnis '!B11</f>
        <v>0</v>
      </c>
      <c r="O4" s="878"/>
      <c r="P4" s="225"/>
      <c r="Q4" s="225"/>
      <c r="R4" s="225"/>
      <c r="S4" s="225"/>
      <c r="T4" s="225"/>
      <c r="U4" s="225"/>
      <c r="V4" s="225"/>
      <c r="W4" s="225"/>
      <c r="X4" s="225"/>
    </row>
    <row r="5" spans="1:24" s="23" customFormat="1" ht="20.25" customHeight="1" x14ac:dyDescent="0.25">
      <c r="A5" s="15"/>
      <c r="C5" s="22"/>
      <c r="E5" s="15"/>
      <c r="H5" s="222"/>
      <c r="I5" s="223"/>
      <c r="J5" s="12"/>
      <c r="L5" s="226" t="s">
        <v>4</v>
      </c>
      <c r="N5" s="1153">
        <f>'Adresse + Ergebnis '!F11</f>
        <v>0</v>
      </c>
      <c r="O5" s="1153"/>
      <c r="P5" s="225"/>
      <c r="Q5" s="225"/>
      <c r="R5" s="225"/>
      <c r="S5" s="225"/>
      <c r="T5" s="225"/>
      <c r="U5" s="225"/>
      <c r="V5" s="225"/>
      <c r="W5" s="225"/>
      <c r="X5" s="225"/>
    </row>
    <row r="6" spans="1:24" s="22" customFormat="1" ht="33" customHeight="1" thickBot="1" x14ac:dyDescent="0.5">
      <c r="A6" s="227" t="s">
        <v>174</v>
      </c>
      <c r="H6" s="222"/>
      <c r="J6" s="228"/>
      <c r="L6" s="54"/>
      <c r="N6" s="229"/>
      <c r="O6" s="229"/>
      <c r="P6" s="225"/>
      <c r="Q6" s="225"/>
      <c r="R6" s="225"/>
      <c r="S6" s="225"/>
      <c r="T6" s="225"/>
      <c r="U6" s="225"/>
      <c r="V6" s="225"/>
      <c r="W6" s="225"/>
      <c r="X6" s="225"/>
    </row>
    <row r="7" spans="1:24" ht="50.25" customHeight="1" thickBot="1" x14ac:dyDescent="0.45">
      <c r="A7" s="230" t="s">
        <v>173</v>
      </c>
      <c r="B7" s="231"/>
      <c r="C7" s="217"/>
      <c r="D7" s="217"/>
      <c r="E7" s="217"/>
      <c r="F7" s="217"/>
      <c r="G7" s="217"/>
      <c r="H7" s="217"/>
      <c r="I7" s="217"/>
      <c r="J7" s="217"/>
      <c r="K7" s="217"/>
      <c r="L7" s="472"/>
      <c r="M7" s="468"/>
      <c r="N7" s="1151" t="s">
        <v>226</v>
      </c>
      <c r="O7" s="1152"/>
    </row>
    <row r="8" spans="1:24" ht="77.25" customHeight="1" x14ac:dyDescent="0.25">
      <c r="A8" s="233" t="s">
        <v>129</v>
      </c>
      <c r="B8" s="39"/>
      <c r="C8" s="39"/>
      <c r="D8" s="39"/>
      <c r="E8" s="39"/>
      <c r="F8" s="39"/>
      <c r="G8" s="39"/>
      <c r="H8" s="39"/>
      <c r="I8" s="39"/>
      <c r="J8" s="234" t="s">
        <v>130</v>
      </c>
      <c r="K8" s="235" t="s">
        <v>131</v>
      </c>
      <c r="L8" s="488" t="s">
        <v>272</v>
      </c>
      <c r="M8" s="236" t="s">
        <v>53</v>
      </c>
      <c r="N8" s="116" t="s">
        <v>56</v>
      </c>
      <c r="O8" s="237" t="s">
        <v>132</v>
      </c>
    </row>
    <row r="9" spans="1:24" ht="24.6" customHeight="1" x14ac:dyDescent="0.25">
      <c r="A9" s="238" t="s">
        <v>133</v>
      </c>
      <c r="B9" s="25"/>
      <c r="C9" s="25"/>
      <c r="D9" s="25"/>
      <c r="E9" s="25"/>
      <c r="F9" s="25"/>
      <c r="G9" s="25"/>
      <c r="H9" s="25"/>
      <c r="I9" s="25"/>
      <c r="J9" s="239"/>
      <c r="K9" s="240"/>
      <c r="L9" s="241"/>
      <c r="M9" s="236"/>
      <c r="N9" s="242"/>
      <c r="O9" s="243"/>
    </row>
    <row r="10" spans="1:24" ht="14.25" x14ac:dyDescent="0.2">
      <c r="A10" s="244" t="s">
        <v>134</v>
      </c>
      <c r="B10" s="39"/>
      <c r="C10" s="39"/>
      <c r="D10" s="39"/>
      <c r="E10" s="39"/>
      <c r="F10" s="39"/>
      <c r="G10" s="39"/>
      <c r="H10" s="39"/>
      <c r="I10" s="41"/>
      <c r="J10" s="409"/>
      <c r="K10" s="419"/>
      <c r="L10" s="420"/>
      <c r="M10" s="237" t="s">
        <v>135</v>
      </c>
      <c r="N10" s="435">
        <v>19.2</v>
      </c>
      <c r="O10" s="441">
        <f>N10*J10/365*K10/100*L10</f>
        <v>0</v>
      </c>
    </row>
    <row r="11" spans="1:24" ht="14.25" x14ac:dyDescent="0.2">
      <c r="A11" s="244" t="s">
        <v>136</v>
      </c>
      <c r="B11" s="39"/>
      <c r="C11" s="245"/>
      <c r="D11" s="45"/>
      <c r="E11" s="39"/>
      <c r="F11" s="39"/>
      <c r="G11" s="39"/>
      <c r="H11" s="39"/>
      <c r="I11" s="39"/>
      <c r="J11" s="409"/>
      <c r="K11" s="419"/>
      <c r="L11" s="420"/>
      <c r="M11" s="237" t="s">
        <v>135</v>
      </c>
      <c r="N11" s="436">
        <v>3.6</v>
      </c>
      <c r="O11" s="441">
        <f>N11*J11/365*K11/100*L11</f>
        <v>0</v>
      </c>
    </row>
    <row r="12" spans="1:24" ht="14.25" x14ac:dyDescent="0.2">
      <c r="A12" s="244" t="s">
        <v>137</v>
      </c>
      <c r="B12" s="39"/>
      <c r="C12" s="39"/>
      <c r="D12" s="246"/>
      <c r="E12" s="39"/>
      <c r="F12" s="39"/>
      <c r="G12" s="39"/>
      <c r="H12" s="39"/>
      <c r="I12" s="39"/>
      <c r="J12" s="409"/>
      <c r="K12" s="419"/>
      <c r="L12" s="420"/>
      <c r="M12" s="247" t="s">
        <v>135</v>
      </c>
      <c r="N12" s="436">
        <v>19.2</v>
      </c>
      <c r="O12" s="441">
        <f>N12*J12/365*K12/100*L12</f>
        <v>0</v>
      </c>
    </row>
    <row r="13" spans="1:24" ht="14.25" x14ac:dyDescent="0.2">
      <c r="A13" s="244" t="s">
        <v>138</v>
      </c>
      <c r="B13" s="39"/>
      <c r="C13" s="39"/>
      <c r="D13" s="246"/>
      <c r="E13" s="39"/>
      <c r="F13" s="39"/>
      <c r="G13" s="39"/>
      <c r="H13" s="39"/>
      <c r="I13" s="39"/>
      <c r="J13" s="409"/>
      <c r="K13" s="419"/>
      <c r="L13" s="420"/>
      <c r="M13" s="247" t="s">
        <v>139</v>
      </c>
      <c r="N13" s="437">
        <v>60</v>
      </c>
      <c r="O13" s="441">
        <f>N13*J13/365*K13/100*L13</f>
        <v>0</v>
      </c>
    </row>
    <row r="14" spans="1:24" ht="14.25" x14ac:dyDescent="0.2">
      <c r="A14" s="244" t="s">
        <v>140</v>
      </c>
      <c r="B14" s="39"/>
      <c r="C14" s="39"/>
      <c r="D14" s="39"/>
      <c r="E14" s="39"/>
      <c r="F14" s="39"/>
      <c r="G14" s="39"/>
      <c r="H14" s="39"/>
      <c r="I14" s="39"/>
      <c r="J14" s="409"/>
      <c r="K14" s="419"/>
      <c r="L14" s="420"/>
      <c r="M14" s="247" t="s">
        <v>139</v>
      </c>
      <c r="N14" s="435">
        <v>26.4</v>
      </c>
      <c r="O14" s="441">
        <f>N14*J14/365*K14/100*L14</f>
        <v>0</v>
      </c>
    </row>
    <row r="15" spans="1:24" ht="14.25" x14ac:dyDescent="0.2">
      <c r="A15" s="248"/>
      <c r="B15" s="25"/>
      <c r="C15" s="25"/>
      <c r="D15" s="8"/>
      <c r="E15" s="25"/>
      <c r="F15" s="25"/>
      <c r="G15" s="25"/>
      <c r="H15" s="25"/>
      <c r="I15" s="39"/>
      <c r="J15" s="245"/>
      <c r="K15" s="143"/>
      <c r="L15" s="473"/>
      <c r="M15" s="477"/>
      <c r="N15" s="249"/>
      <c r="O15" s="237"/>
    </row>
    <row r="16" spans="1:24" ht="15" x14ac:dyDescent="0.25">
      <c r="A16" s="233" t="s">
        <v>201</v>
      </c>
      <c r="B16" s="39"/>
      <c r="C16" s="39"/>
      <c r="D16" s="250"/>
      <c r="E16" s="250"/>
      <c r="F16" s="250"/>
      <c r="G16" s="250"/>
      <c r="H16" s="250"/>
      <c r="I16" s="250"/>
      <c r="J16" s="251"/>
      <c r="K16" s="251"/>
      <c r="L16" s="523"/>
      <c r="M16" s="477" t="s">
        <v>141</v>
      </c>
      <c r="N16" s="438">
        <v>2</v>
      </c>
      <c r="O16" s="441">
        <f>N16*L16</f>
        <v>0</v>
      </c>
    </row>
    <row r="17" spans="1:16" ht="14.25" x14ac:dyDescent="0.2">
      <c r="A17" s="252"/>
      <c r="B17" s="25"/>
      <c r="C17" s="25"/>
      <c r="D17" s="253"/>
      <c r="E17" s="253"/>
      <c r="F17" s="253"/>
      <c r="G17" s="253"/>
      <c r="H17" s="253"/>
      <c r="I17" s="254"/>
      <c r="J17" s="255"/>
      <c r="K17" s="255"/>
      <c r="L17" s="474"/>
      <c r="M17" s="546"/>
      <c r="N17" s="547"/>
      <c r="O17" s="546"/>
    </row>
    <row r="18" spans="1:16" ht="15" x14ac:dyDescent="0.25">
      <c r="A18" s="238" t="s">
        <v>292</v>
      </c>
      <c r="B18" s="25"/>
      <c r="C18" s="25"/>
      <c r="D18" s="253"/>
      <c r="E18" s="253"/>
      <c r="F18" s="253"/>
      <c r="G18" s="550" t="s">
        <v>291</v>
      </c>
      <c r="H18" s="253"/>
      <c r="I18" s="257"/>
      <c r="J18" s="258"/>
      <c r="K18" s="258"/>
      <c r="L18" s="475"/>
      <c r="M18" s="548"/>
      <c r="N18" s="549"/>
      <c r="O18" s="548"/>
      <c r="P18" s="248"/>
    </row>
    <row r="19" spans="1:16" ht="14.25" x14ac:dyDescent="0.2">
      <c r="A19" s="38" t="s">
        <v>142</v>
      </c>
      <c r="B19" s="39"/>
      <c r="C19" s="39"/>
      <c r="D19" s="250"/>
      <c r="E19" s="250"/>
      <c r="F19" s="250"/>
      <c r="G19" s="551" t="s">
        <v>294</v>
      </c>
      <c r="H19" s="250"/>
      <c r="I19" s="250"/>
      <c r="J19" s="251"/>
      <c r="K19" s="251"/>
      <c r="L19" s="523"/>
      <c r="M19" s="477" t="s">
        <v>290</v>
      </c>
      <c r="N19" s="439">
        <v>4</v>
      </c>
      <c r="O19" s="442">
        <f>N19*L19</f>
        <v>0</v>
      </c>
    </row>
    <row r="20" spans="1:16" ht="14.25" x14ac:dyDescent="0.2">
      <c r="A20" s="38" t="s">
        <v>143</v>
      </c>
      <c r="B20" s="39"/>
      <c r="C20" s="39"/>
      <c r="D20" s="39"/>
      <c r="E20" s="39"/>
      <c r="F20" s="39"/>
      <c r="G20" s="551" t="s">
        <v>293</v>
      </c>
      <c r="H20" s="39"/>
      <c r="I20" s="39"/>
      <c r="J20" s="245"/>
      <c r="K20" s="245"/>
      <c r="L20" s="523"/>
      <c r="M20" s="477" t="s">
        <v>290</v>
      </c>
      <c r="N20" s="438">
        <v>2</v>
      </c>
      <c r="O20" s="441">
        <f>N20*L20</f>
        <v>0</v>
      </c>
    </row>
    <row r="21" spans="1:16" ht="14.25" x14ac:dyDescent="0.2">
      <c r="A21" s="38" t="s">
        <v>10</v>
      </c>
      <c r="B21" s="39"/>
      <c r="C21" s="39"/>
      <c r="D21" s="39"/>
      <c r="E21" s="39"/>
      <c r="F21" s="39"/>
      <c r="G21" s="551" t="s">
        <v>295</v>
      </c>
      <c r="H21" s="39"/>
      <c r="I21" s="39"/>
      <c r="J21" s="245"/>
      <c r="K21" s="245"/>
      <c r="L21" s="523"/>
      <c r="M21" s="477" t="s">
        <v>290</v>
      </c>
      <c r="N21" s="438">
        <v>0.04</v>
      </c>
      <c r="O21" s="441">
        <f>N21*L21</f>
        <v>0</v>
      </c>
    </row>
    <row r="22" spans="1:16" ht="14.25" x14ac:dyDescent="0.2">
      <c r="A22" s="38" t="s">
        <v>296</v>
      </c>
      <c r="B22" s="39"/>
      <c r="C22" s="39"/>
      <c r="D22" s="39"/>
      <c r="E22" s="39"/>
      <c r="F22" s="39"/>
      <c r="G22" s="551"/>
      <c r="H22" s="39"/>
      <c r="I22" s="39"/>
      <c r="J22" s="245"/>
      <c r="K22" s="245"/>
      <c r="L22" s="552"/>
      <c r="M22" s="477"/>
      <c r="N22" s="438"/>
      <c r="O22" s="553"/>
    </row>
    <row r="23" spans="1:16" ht="14.25" x14ac:dyDescent="0.2">
      <c r="A23" s="503"/>
      <c r="B23" s="70"/>
      <c r="C23" s="70"/>
      <c r="D23" s="70"/>
      <c r="E23" s="70"/>
      <c r="F23" s="70"/>
      <c r="G23" s="554"/>
      <c r="H23" s="70"/>
      <c r="I23" s="70"/>
      <c r="J23" s="555"/>
      <c r="K23" s="555"/>
      <c r="L23" s="556"/>
      <c r="M23" s="557"/>
      <c r="N23" s="558"/>
      <c r="O23" s="562"/>
    </row>
    <row r="24" spans="1:16" ht="15" x14ac:dyDescent="0.25">
      <c r="A24" s="89" t="s">
        <v>297</v>
      </c>
      <c r="B24" s="90"/>
      <c r="C24" s="90"/>
      <c r="D24" s="90"/>
      <c r="E24" s="90"/>
      <c r="F24" s="90"/>
      <c r="G24" s="559"/>
      <c r="H24" s="90"/>
      <c r="I24" s="90"/>
      <c r="J24" s="560"/>
      <c r="K24" s="560"/>
      <c r="L24" s="561"/>
      <c r="M24" s="237"/>
      <c r="N24" s="438"/>
      <c r="O24" s="563"/>
    </row>
    <row r="25" spans="1:16" ht="17.25" x14ac:dyDescent="0.25">
      <c r="A25" s="38" t="s">
        <v>298</v>
      </c>
      <c r="B25" s="39"/>
      <c r="C25" s="39"/>
      <c r="D25" s="39"/>
      <c r="E25" s="39"/>
      <c r="F25" s="39"/>
      <c r="G25" s="551"/>
      <c r="H25" s="39"/>
      <c r="I25" s="39"/>
      <c r="J25" s="245"/>
      <c r="K25" s="245"/>
      <c r="L25" s="545"/>
      <c r="M25" s="477" t="s">
        <v>301</v>
      </c>
      <c r="N25" s="438">
        <v>180</v>
      </c>
      <c r="O25" s="441">
        <f>L25*N25</f>
        <v>0</v>
      </c>
    </row>
    <row r="26" spans="1:16" ht="14.25" x14ac:dyDescent="0.2">
      <c r="A26" s="38" t="s">
        <v>299</v>
      </c>
      <c r="C26" s="39"/>
      <c r="D26" s="39"/>
      <c r="E26" s="39"/>
      <c r="F26" s="39"/>
      <c r="G26" s="551"/>
      <c r="H26" s="39"/>
      <c r="I26" s="39"/>
      <c r="J26" s="245"/>
      <c r="K26" s="245"/>
      <c r="L26" s="552"/>
      <c r="M26" s="477"/>
      <c r="N26" s="438"/>
      <c r="O26" s="553"/>
    </row>
    <row r="27" spans="1:16" ht="14.25" x14ac:dyDescent="0.2">
      <c r="A27" s="38" t="s">
        <v>300</v>
      </c>
      <c r="B27" s="39"/>
      <c r="C27" s="39"/>
      <c r="D27" s="39"/>
      <c r="E27" s="39"/>
      <c r="F27" s="39"/>
      <c r="G27" s="551"/>
      <c r="H27" s="39"/>
      <c r="I27" s="39"/>
      <c r="J27" s="245"/>
      <c r="K27" s="245"/>
      <c r="L27" s="552"/>
      <c r="M27" s="564">
        <v>0.02</v>
      </c>
      <c r="N27" s="438"/>
      <c r="O27" s="441">
        <f>O25*0.02</f>
        <v>0</v>
      </c>
    </row>
    <row r="28" spans="1:16" ht="14.25" x14ac:dyDescent="0.2">
      <c r="A28" s="38"/>
      <c r="B28" s="39"/>
      <c r="C28" s="39"/>
      <c r="D28" s="39"/>
      <c r="E28" s="39"/>
      <c r="F28" s="39"/>
      <c r="G28" s="39"/>
      <c r="H28" s="39"/>
      <c r="I28" s="39"/>
      <c r="J28" s="245"/>
      <c r="K28" s="245"/>
      <c r="L28" s="473"/>
      <c r="M28" s="477"/>
      <c r="N28" s="247"/>
      <c r="O28" s="237"/>
    </row>
    <row r="29" spans="1:16" ht="15" x14ac:dyDescent="0.25">
      <c r="A29" s="233" t="s">
        <v>144</v>
      </c>
      <c r="B29" s="39"/>
      <c r="C29" s="39"/>
      <c r="D29" s="39"/>
      <c r="E29" s="39"/>
      <c r="F29" s="39"/>
      <c r="G29" s="39"/>
      <c r="H29" s="39"/>
      <c r="I29" s="39"/>
      <c r="J29" s="245"/>
      <c r="K29" s="245"/>
      <c r="L29" s="523"/>
      <c r="M29" s="477" t="s">
        <v>145</v>
      </c>
      <c r="N29" s="440">
        <v>0.2</v>
      </c>
      <c r="O29" s="441"/>
    </row>
    <row r="30" spans="1:16" ht="15" x14ac:dyDescent="0.25">
      <c r="A30" s="238"/>
      <c r="B30" s="25"/>
      <c r="C30" s="25"/>
      <c r="D30" s="25"/>
      <c r="E30" s="25"/>
      <c r="F30" s="25"/>
      <c r="G30" s="25"/>
      <c r="H30" s="25"/>
      <c r="I30" s="39"/>
      <c r="J30" s="245"/>
      <c r="K30" s="245"/>
      <c r="L30" s="473"/>
      <c r="M30" s="477"/>
      <c r="N30" s="247"/>
      <c r="O30" s="237"/>
    </row>
    <row r="31" spans="1:16" ht="15" x14ac:dyDescent="0.25">
      <c r="A31" s="233" t="s">
        <v>146</v>
      </c>
      <c r="B31" s="39"/>
      <c r="C31" s="39"/>
      <c r="D31" s="39"/>
      <c r="E31" s="39"/>
      <c r="F31" s="39"/>
      <c r="G31" s="39"/>
      <c r="H31" s="39"/>
      <c r="I31" s="39"/>
      <c r="J31" s="245"/>
      <c r="K31" s="245"/>
      <c r="L31" s="523"/>
      <c r="M31" s="477" t="s">
        <v>147</v>
      </c>
      <c r="N31" s="440">
        <v>9</v>
      </c>
      <c r="O31" s="441">
        <f>N31*L31</f>
        <v>0</v>
      </c>
    </row>
    <row r="32" spans="1:16" ht="15" x14ac:dyDescent="0.25">
      <c r="A32" s="238"/>
      <c r="B32" s="25"/>
      <c r="C32" s="25"/>
      <c r="D32" s="25"/>
      <c r="E32" s="25"/>
      <c r="F32" s="25"/>
      <c r="G32" s="25"/>
      <c r="H32" s="25"/>
      <c r="I32" s="39"/>
      <c r="J32" s="245"/>
      <c r="K32" s="245"/>
      <c r="L32" s="473"/>
      <c r="M32" s="477"/>
      <c r="N32" s="247"/>
      <c r="O32" s="237"/>
    </row>
    <row r="33" spans="1:15" ht="15" x14ac:dyDescent="0.25">
      <c r="A33" s="233" t="s">
        <v>148</v>
      </c>
      <c r="B33" s="39"/>
      <c r="C33" s="39"/>
      <c r="D33" s="39"/>
      <c r="E33" s="39"/>
      <c r="F33" s="39"/>
      <c r="G33" s="39"/>
      <c r="H33" s="39"/>
      <c r="I33" s="39"/>
      <c r="J33" s="245"/>
      <c r="K33" s="245"/>
      <c r="L33" s="523"/>
      <c r="M33" s="477" t="s">
        <v>149</v>
      </c>
      <c r="N33" s="440">
        <v>6</v>
      </c>
      <c r="O33" s="441">
        <f>N33*L33</f>
        <v>0</v>
      </c>
    </row>
    <row r="34" spans="1:15" ht="15.75" thickBot="1" x14ac:dyDescent="0.3">
      <c r="A34" s="259"/>
      <c r="B34" s="94"/>
      <c r="C34" s="94"/>
      <c r="D34" s="94"/>
      <c r="E34" s="94"/>
      <c r="F34" s="94"/>
      <c r="G34" s="94"/>
      <c r="H34" s="94"/>
      <c r="I34" s="49"/>
      <c r="J34" s="260"/>
      <c r="K34" s="260"/>
      <c r="L34" s="476"/>
      <c r="M34" s="478"/>
      <c r="N34" s="261"/>
      <c r="O34" s="262"/>
    </row>
    <row r="35" spans="1:15" ht="19.5" thickBot="1" x14ac:dyDescent="0.45">
      <c r="A35" s="64" t="s">
        <v>302</v>
      </c>
      <c r="B35" s="518"/>
      <c r="C35" s="518"/>
      <c r="D35" s="65"/>
      <c r="E35" s="65"/>
      <c r="F35" s="65"/>
      <c r="G35" s="65"/>
      <c r="H35" s="65"/>
      <c r="I35" s="65"/>
      <c r="J35" s="65"/>
      <c r="K35" s="65"/>
      <c r="L35" s="519"/>
      <c r="M35" s="521" t="s">
        <v>122</v>
      </c>
      <c r="N35" s="522"/>
      <c r="O35" s="421"/>
    </row>
    <row r="36" spans="1:15" ht="19.5" thickBot="1" x14ac:dyDescent="0.45">
      <c r="A36" s="93" t="s">
        <v>283</v>
      </c>
      <c r="B36" s="263"/>
      <c r="C36" s="1089"/>
      <c r="D36" s="1149"/>
      <c r="E36" s="1149"/>
      <c r="F36" s="1149"/>
      <c r="G36" s="1149"/>
      <c r="H36" s="1149"/>
      <c r="I36" s="1149"/>
      <c r="J36" s="1149"/>
      <c r="K36" s="1149"/>
      <c r="L36" s="1149"/>
      <c r="M36" s="1149"/>
      <c r="N36" s="1150"/>
      <c r="O36" s="520"/>
    </row>
    <row r="37" spans="1:15" ht="35.25" customHeight="1" thickBot="1" x14ac:dyDescent="0.45">
      <c r="A37" s="264" t="s">
        <v>227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443">
        <f>SUM(O10:O35)</f>
        <v>0</v>
      </c>
    </row>
  </sheetData>
  <sheetProtection password="C917" sheet="1" selectLockedCells="1"/>
  <mergeCells count="8">
    <mergeCell ref="C36:N36"/>
    <mergeCell ref="N3:O3"/>
    <mergeCell ref="N7:O7"/>
    <mergeCell ref="B3:C3"/>
    <mergeCell ref="E3:F3"/>
    <mergeCell ref="G3:J3"/>
    <mergeCell ref="N4:O4"/>
    <mergeCell ref="N5:O5"/>
  </mergeCells>
  <phoneticPr fontId="41" type="noConversion"/>
  <dataValidations count="1">
    <dataValidation type="whole" allowBlank="1" showInputMessage="1" showErrorMessage="1" errorTitle="Ungültiger Wert" error="Bitte geben Sie eine gültige Anzahl ein." sqref="J10:L14 L16 L19:L27 L29 L31 L33">
      <formula1>1</formula1>
      <formula2>9999</formula2>
    </dataValidation>
  </dataValidations>
  <pageMargins left="0.39370078740157483" right="0.39370078740157483" top="0.35433070866141736" bottom="0.43307086614173229" header="0.23622047244094491" footer="0.19685039370078741"/>
  <pageSetup paperSize="9" scale="76" orientation="portrait" r:id="rId1"/>
  <headerFooter alignWithMargins="0"/>
  <ignoredErrors>
    <ignoredError sqref="O25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indexed="11"/>
    <pageSetUpPr fitToPage="1"/>
  </sheetPr>
  <dimension ref="A1:W117"/>
  <sheetViews>
    <sheetView zoomScaleNormal="100" zoomScaleSheetLayoutView="100" workbookViewId="0">
      <selection activeCell="A7" sqref="A7:A13"/>
    </sheetView>
  </sheetViews>
  <sheetFormatPr baseColWidth="10" defaultColWidth="11.42578125" defaultRowHeight="12.75" x14ac:dyDescent="0.2"/>
  <cols>
    <col min="1" max="1" width="45.85546875" style="12" customWidth="1"/>
    <col min="2" max="2" width="10.140625" style="12" customWidth="1"/>
    <col min="3" max="3" width="12.5703125" style="116" customWidth="1"/>
    <col min="4" max="4" width="14" style="116" customWidth="1"/>
    <col min="5" max="5" width="10.42578125" style="116" customWidth="1"/>
    <col min="6" max="6" width="19.5703125" style="116" customWidth="1"/>
    <col min="7" max="7" width="15.7109375" style="108" customWidth="1"/>
    <col min="8" max="8" width="16.5703125" style="117" customWidth="1"/>
    <col min="9" max="9" width="24.85546875" style="108" customWidth="1"/>
    <col min="10" max="10" width="22.85546875" style="117" customWidth="1"/>
    <col min="11" max="11" width="19.140625" style="108" customWidth="1"/>
    <col min="12" max="12" width="19.28515625" style="117" customWidth="1"/>
    <col min="13" max="13" width="8.5703125" style="116" customWidth="1"/>
    <col min="14" max="14" width="8.7109375" style="593" customWidth="1"/>
    <col min="15" max="23" width="11.42578125" style="571"/>
    <col min="24" max="16384" width="11.42578125" style="12"/>
  </cols>
  <sheetData>
    <row r="1" spans="1:14" ht="12.75" customHeight="1" x14ac:dyDescent="0.2">
      <c r="I1" s="69"/>
      <c r="J1" s="8"/>
      <c r="K1" s="1154" t="s">
        <v>346</v>
      </c>
      <c r="L1" s="1155"/>
      <c r="M1" s="1155"/>
      <c r="N1" s="1156"/>
    </row>
    <row r="2" spans="1:14" x14ac:dyDescent="0.2">
      <c r="I2" s="8"/>
      <c r="J2" s="8"/>
      <c r="K2" s="1155"/>
      <c r="L2" s="1155"/>
      <c r="M2" s="1155"/>
      <c r="N2" s="1156"/>
    </row>
    <row r="3" spans="1:14" x14ac:dyDescent="0.2">
      <c r="I3" s="8"/>
      <c r="J3" s="8"/>
      <c r="K3" s="1155"/>
      <c r="L3" s="1155"/>
      <c r="M3" s="1155"/>
      <c r="N3" s="1156"/>
    </row>
    <row r="4" spans="1:14" x14ac:dyDescent="0.2">
      <c r="I4" s="8"/>
      <c r="J4" s="8"/>
      <c r="K4" s="1155"/>
      <c r="L4" s="1155"/>
      <c r="M4" s="1155"/>
      <c r="N4" s="1156"/>
    </row>
    <row r="5" spans="1:14" x14ac:dyDescent="0.2">
      <c r="I5" s="8"/>
      <c r="J5" s="8"/>
      <c r="K5" s="1155"/>
      <c r="L5" s="1155"/>
      <c r="M5" s="1155"/>
      <c r="N5" s="1156"/>
    </row>
    <row r="6" spans="1:14" ht="13.5" thickBot="1" x14ac:dyDescent="0.25"/>
    <row r="7" spans="1:14" x14ac:dyDescent="0.2">
      <c r="A7" s="1188" t="s">
        <v>214</v>
      </c>
      <c r="B7" s="1166" t="s">
        <v>303</v>
      </c>
      <c r="C7" s="1167"/>
      <c r="D7" s="1167"/>
      <c r="E7" s="1167"/>
      <c r="F7" s="1167"/>
      <c r="G7" s="1167"/>
      <c r="H7" s="1167"/>
      <c r="I7" s="1167"/>
      <c r="J7" s="1167"/>
      <c r="K7" s="1167"/>
      <c r="L7" s="1167"/>
      <c r="M7" s="1167"/>
      <c r="N7" s="1168"/>
    </row>
    <row r="8" spans="1:14" ht="19.5" customHeight="1" x14ac:dyDescent="0.2">
      <c r="A8" s="1189"/>
      <c r="B8" s="1173" t="s">
        <v>247</v>
      </c>
      <c r="C8" s="118" t="s">
        <v>106</v>
      </c>
      <c r="D8" s="1171"/>
      <c r="E8" s="1172"/>
      <c r="F8" s="118" t="s">
        <v>39</v>
      </c>
      <c r="G8" s="1162" t="s">
        <v>107</v>
      </c>
      <c r="H8" s="1163"/>
      <c r="I8" s="1162" t="s">
        <v>108</v>
      </c>
      <c r="J8" s="1163"/>
      <c r="K8" s="1162" t="s">
        <v>109</v>
      </c>
      <c r="L8" s="1163"/>
      <c r="M8" s="1185" t="s">
        <v>329</v>
      </c>
      <c r="N8" s="1169" t="s">
        <v>330</v>
      </c>
    </row>
    <row r="9" spans="1:14" x14ac:dyDescent="0.2">
      <c r="A9" s="1189"/>
      <c r="B9" s="1174"/>
      <c r="C9" s="121"/>
      <c r="D9" s="1176"/>
      <c r="E9" s="1177"/>
      <c r="F9" s="121"/>
      <c r="G9" s="1164" t="s">
        <v>240</v>
      </c>
      <c r="H9" s="1165"/>
      <c r="I9" s="1164" t="s">
        <v>241</v>
      </c>
      <c r="J9" s="1165"/>
      <c r="K9" s="1164" t="s">
        <v>110</v>
      </c>
      <c r="L9" s="1165"/>
      <c r="M9" s="1186"/>
      <c r="N9" s="1170"/>
    </row>
    <row r="10" spans="1:14" x14ac:dyDescent="0.2">
      <c r="A10" s="1189"/>
      <c r="B10" s="1174"/>
      <c r="C10" s="121"/>
      <c r="D10" s="122"/>
      <c r="E10" s="123"/>
      <c r="F10" s="121"/>
      <c r="G10" s="1157" t="s">
        <v>242</v>
      </c>
      <c r="H10" s="1158"/>
      <c r="I10" s="1178" t="s">
        <v>244</v>
      </c>
      <c r="J10" s="1179"/>
      <c r="K10" s="1157" t="s">
        <v>245</v>
      </c>
      <c r="L10" s="1180"/>
      <c r="M10" s="1186"/>
      <c r="N10" s="1170"/>
    </row>
    <row r="11" spans="1:14" x14ac:dyDescent="0.2">
      <c r="A11" s="1189"/>
      <c r="B11" s="1175"/>
      <c r="C11" s="124"/>
      <c r="D11" s="122"/>
      <c r="E11" s="123"/>
      <c r="F11" s="124"/>
      <c r="G11" s="125"/>
      <c r="H11" s="126"/>
      <c r="I11" s="1181" t="s">
        <v>246</v>
      </c>
      <c r="J11" s="1182"/>
      <c r="K11" s="1183"/>
      <c r="L11" s="1184"/>
      <c r="M11" s="1186"/>
      <c r="N11" s="1170"/>
    </row>
    <row r="12" spans="1:14" x14ac:dyDescent="0.2">
      <c r="A12" s="1189"/>
      <c r="B12" s="127" t="s">
        <v>53</v>
      </c>
      <c r="C12" s="128" t="s">
        <v>57</v>
      </c>
      <c r="D12" s="129"/>
      <c r="E12" s="130"/>
      <c r="F12" s="131" t="s">
        <v>58</v>
      </c>
      <c r="G12" s="128" t="s">
        <v>57</v>
      </c>
      <c r="H12" s="131" t="s">
        <v>58</v>
      </c>
      <c r="I12" s="128" t="s">
        <v>57</v>
      </c>
      <c r="J12" s="131" t="s">
        <v>58</v>
      </c>
      <c r="K12" s="128" t="s">
        <v>57</v>
      </c>
      <c r="L12" s="131" t="s">
        <v>58</v>
      </c>
      <c r="M12" s="1187"/>
      <c r="N12" s="1170"/>
    </row>
    <row r="13" spans="1:14" ht="21" customHeight="1" x14ac:dyDescent="0.2">
      <c r="A13" s="1190"/>
      <c r="B13" s="127"/>
      <c r="C13" s="132"/>
      <c r="D13" s="133"/>
      <c r="E13" s="134"/>
      <c r="F13" s="132"/>
      <c r="G13" s="135"/>
      <c r="H13" s="131"/>
      <c r="I13" s="135"/>
      <c r="J13" s="131"/>
      <c r="K13" s="135"/>
      <c r="L13" s="131"/>
      <c r="M13" s="132"/>
      <c r="N13" s="635"/>
    </row>
    <row r="14" spans="1:14" x14ac:dyDescent="0.2">
      <c r="A14" s="641" t="s">
        <v>331</v>
      </c>
      <c r="B14" s="127" t="s">
        <v>59</v>
      </c>
      <c r="C14" s="132">
        <v>23</v>
      </c>
      <c r="D14" s="133"/>
      <c r="E14" s="134"/>
      <c r="F14" s="132">
        <v>21</v>
      </c>
      <c r="G14" s="135">
        <v>17.3</v>
      </c>
      <c r="H14" s="135">
        <v>5.3</v>
      </c>
      <c r="I14" s="135">
        <v>11.5</v>
      </c>
      <c r="J14" s="135">
        <v>10.5</v>
      </c>
      <c r="K14" s="135">
        <v>5.8</v>
      </c>
      <c r="L14" s="135">
        <v>15.8</v>
      </c>
      <c r="M14" s="132">
        <v>1</v>
      </c>
      <c r="N14" s="635">
        <v>1.1000000000000001</v>
      </c>
    </row>
    <row r="15" spans="1:14" x14ac:dyDescent="0.2">
      <c r="A15" s="639" t="s">
        <v>305</v>
      </c>
      <c r="B15" s="137"/>
      <c r="C15" s="138"/>
      <c r="D15" s="139"/>
      <c r="E15" s="140"/>
      <c r="F15" s="138"/>
      <c r="G15" s="138"/>
      <c r="H15" s="141"/>
      <c r="I15" s="138"/>
      <c r="J15" s="141"/>
      <c r="K15" s="138"/>
      <c r="L15" s="141"/>
      <c r="M15" s="138"/>
      <c r="N15" s="635"/>
    </row>
    <row r="16" spans="1:14" x14ac:dyDescent="0.2">
      <c r="A16" s="640"/>
      <c r="B16" s="137"/>
      <c r="C16" s="138"/>
      <c r="D16" s="139"/>
      <c r="E16" s="140"/>
      <c r="F16" s="138"/>
      <c r="G16" s="138"/>
      <c r="H16" s="141"/>
      <c r="I16" s="138"/>
      <c r="J16" s="141"/>
      <c r="K16" s="138"/>
      <c r="L16" s="141"/>
      <c r="M16" s="138"/>
      <c r="N16" s="635"/>
    </row>
    <row r="17" spans="1:23" s="572" customFormat="1" x14ac:dyDescent="0.2">
      <c r="A17" s="641" t="s">
        <v>304</v>
      </c>
      <c r="B17" s="642" t="s">
        <v>59</v>
      </c>
      <c r="C17" s="643">
        <v>19</v>
      </c>
      <c r="D17" s="644"/>
      <c r="E17" s="645"/>
      <c r="F17" s="643">
        <v>18</v>
      </c>
      <c r="G17" s="643">
        <v>14.3</v>
      </c>
      <c r="H17" s="643">
        <v>4.5</v>
      </c>
      <c r="I17" s="643">
        <v>9.5</v>
      </c>
      <c r="J17" s="643">
        <v>9</v>
      </c>
      <c r="K17" s="643">
        <v>4.8</v>
      </c>
      <c r="L17" s="643">
        <v>13.5</v>
      </c>
      <c r="M17" s="675">
        <v>1</v>
      </c>
      <c r="N17" s="635">
        <v>0.9</v>
      </c>
      <c r="O17" s="591"/>
    </row>
    <row r="18" spans="1:23" s="142" customFormat="1" x14ac:dyDescent="0.2">
      <c r="A18" s="638" t="s">
        <v>306</v>
      </c>
      <c r="B18" s="646" t="s">
        <v>59</v>
      </c>
      <c r="C18" s="647">
        <v>17</v>
      </c>
      <c r="D18" s="648"/>
      <c r="E18" s="649"/>
      <c r="F18" s="650">
        <v>16</v>
      </c>
      <c r="G18" s="651">
        <v>12.8</v>
      </c>
      <c r="H18" s="651">
        <v>4</v>
      </c>
      <c r="I18" s="651">
        <v>8.5</v>
      </c>
      <c r="J18" s="651">
        <v>8</v>
      </c>
      <c r="K18" s="651">
        <v>4.3</v>
      </c>
      <c r="L18" s="651">
        <v>12</v>
      </c>
      <c r="M18" s="676">
        <v>1</v>
      </c>
      <c r="N18" s="635">
        <v>0.8</v>
      </c>
      <c r="O18" s="592"/>
      <c r="P18" s="571"/>
      <c r="Q18" s="571"/>
      <c r="R18" s="571"/>
      <c r="S18" s="571"/>
      <c r="T18" s="571"/>
      <c r="U18" s="571"/>
      <c r="V18" s="571"/>
      <c r="W18" s="571"/>
    </row>
    <row r="19" spans="1:23" x14ac:dyDescent="0.2">
      <c r="A19" s="638" t="s">
        <v>322</v>
      </c>
      <c r="B19" s="646" t="s">
        <v>59</v>
      </c>
      <c r="C19" s="650">
        <v>15</v>
      </c>
      <c r="D19" s="648"/>
      <c r="E19" s="649"/>
      <c r="F19" s="650">
        <v>13</v>
      </c>
      <c r="G19" s="651">
        <v>11.3</v>
      </c>
      <c r="H19" s="651">
        <v>3.3</v>
      </c>
      <c r="I19" s="651">
        <v>7.5</v>
      </c>
      <c r="J19" s="651">
        <v>6.5</v>
      </c>
      <c r="K19" s="651">
        <v>3.8</v>
      </c>
      <c r="L19" s="651">
        <v>9.8000000000000007</v>
      </c>
      <c r="M19" s="676">
        <v>1</v>
      </c>
      <c r="N19" s="635">
        <v>0.7</v>
      </c>
      <c r="O19" s="592"/>
    </row>
    <row r="20" spans="1:23" x14ac:dyDescent="0.2">
      <c r="A20" s="720" t="s">
        <v>68</v>
      </c>
      <c r="B20" s="721" t="s">
        <v>59</v>
      </c>
      <c r="C20" s="676">
        <v>4.8</v>
      </c>
      <c r="D20" s="722"/>
      <c r="E20" s="723"/>
      <c r="F20" s="676">
        <v>4.5999999999999996</v>
      </c>
      <c r="G20" s="724">
        <v>3.6</v>
      </c>
      <c r="H20" s="724">
        <v>1.2</v>
      </c>
      <c r="I20" s="724">
        <v>2.4</v>
      </c>
      <c r="J20" s="724">
        <v>2.2999999999999998</v>
      </c>
      <c r="K20" s="724">
        <v>1.2</v>
      </c>
      <c r="L20" s="724">
        <v>3.5</v>
      </c>
      <c r="M20" s="676">
        <v>0.23</v>
      </c>
      <c r="N20" s="725">
        <v>0.26</v>
      </c>
      <c r="O20" s="592"/>
    </row>
    <row r="21" spans="1:23" x14ac:dyDescent="0.2">
      <c r="A21" s="720" t="s">
        <v>69</v>
      </c>
      <c r="B21" s="721" t="s">
        <v>59</v>
      </c>
      <c r="C21" s="676">
        <v>8</v>
      </c>
      <c r="D21" s="722"/>
      <c r="E21" s="723"/>
      <c r="F21" s="676">
        <v>7.6</v>
      </c>
      <c r="G21" s="724">
        <v>6</v>
      </c>
      <c r="H21" s="724">
        <v>1.9</v>
      </c>
      <c r="I21" s="724">
        <v>4</v>
      </c>
      <c r="J21" s="724">
        <v>3.8</v>
      </c>
      <c r="K21" s="724">
        <v>2</v>
      </c>
      <c r="L21" s="724">
        <v>5.7</v>
      </c>
      <c r="M21" s="676">
        <v>0.4</v>
      </c>
      <c r="N21" s="725">
        <v>0.4</v>
      </c>
      <c r="O21" s="592"/>
    </row>
    <row r="22" spans="1:23" x14ac:dyDescent="0.2">
      <c r="A22" s="720" t="s">
        <v>70</v>
      </c>
      <c r="B22" s="721" t="s">
        <v>59</v>
      </c>
      <c r="C22" s="676">
        <v>12</v>
      </c>
      <c r="D22" s="722"/>
      <c r="E22" s="723"/>
      <c r="F22" s="676">
        <v>10</v>
      </c>
      <c r="G22" s="724">
        <v>9</v>
      </c>
      <c r="H22" s="724">
        <v>2.5</v>
      </c>
      <c r="I22" s="724">
        <v>6</v>
      </c>
      <c r="J22" s="724">
        <v>5</v>
      </c>
      <c r="K22" s="724">
        <v>3</v>
      </c>
      <c r="L22" s="724">
        <v>7.5</v>
      </c>
      <c r="M22" s="676">
        <v>0.6</v>
      </c>
      <c r="N22" s="725">
        <v>0.55000000000000004</v>
      </c>
      <c r="O22" s="592"/>
    </row>
    <row r="23" spans="1:23" x14ac:dyDescent="0.2">
      <c r="A23" s="726" t="s">
        <v>71</v>
      </c>
      <c r="B23" s="721" t="s">
        <v>60</v>
      </c>
      <c r="C23" s="676"/>
      <c r="D23" s="722"/>
      <c r="E23" s="723"/>
      <c r="F23" s="676">
        <v>3.2</v>
      </c>
      <c r="G23" s="724"/>
      <c r="H23" s="724"/>
      <c r="I23" s="724"/>
      <c r="J23" s="724"/>
      <c r="K23" s="724"/>
      <c r="L23" s="724"/>
      <c r="M23" s="676">
        <v>0.13</v>
      </c>
      <c r="N23" s="725">
        <v>0.19</v>
      </c>
      <c r="O23" s="592"/>
    </row>
    <row r="24" spans="1:23" s="709" customFormat="1" x14ac:dyDescent="0.2">
      <c r="A24" s="727" t="s">
        <v>343</v>
      </c>
      <c r="B24" s="721" t="s">
        <v>59</v>
      </c>
      <c r="C24" s="676">
        <v>4.0999999999999996</v>
      </c>
      <c r="D24" s="722"/>
      <c r="E24" s="723"/>
      <c r="F24" s="676">
        <v>3.8</v>
      </c>
      <c r="G24" s="724">
        <v>3.1</v>
      </c>
      <c r="H24" s="724">
        <v>1</v>
      </c>
      <c r="I24" s="724">
        <v>2.1</v>
      </c>
      <c r="J24" s="724">
        <v>1.9</v>
      </c>
      <c r="K24" s="724">
        <v>1</v>
      </c>
      <c r="L24" s="724">
        <v>2.9</v>
      </c>
      <c r="M24" s="676">
        <v>0.22</v>
      </c>
      <c r="N24" s="725">
        <v>0.33</v>
      </c>
      <c r="O24" s="592"/>
      <c r="P24" s="571"/>
      <c r="Q24" s="571"/>
      <c r="R24" s="571"/>
      <c r="S24" s="571"/>
      <c r="T24" s="571"/>
      <c r="U24" s="571"/>
      <c r="V24" s="571"/>
      <c r="W24" s="571"/>
    </row>
    <row r="25" spans="1:23" x14ac:dyDescent="0.2">
      <c r="A25" s="727" t="s">
        <v>344</v>
      </c>
      <c r="B25" s="721" t="s">
        <v>59</v>
      </c>
      <c r="C25" s="676">
        <v>1.6</v>
      </c>
      <c r="D25" s="722"/>
      <c r="E25" s="723"/>
      <c r="F25" s="676">
        <v>1.5</v>
      </c>
      <c r="G25" s="724">
        <v>1.2</v>
      </c>
      <c r="H25" s="724">
        <v>0.4</v>
      </c>
      <c r="I25" s="724">
        <v>0.8</v>
      </c>
      <c r="J25" s="724">
        <v>0.8</v>
      </c>
      <c r="K25" s="724">
        <v>0.4</v>
      </c>
      <c r="L25" s="724">
        <v>1.1000000000000001</v>
      </c>
      <c r="M25" s="676">
        <v>0.13</v>
      </c>
      <c r="N25" s="725">
        <v>0.18</v>
      </c>
      <c r="W25" s="12"/>
    </row>
    <row r="26" spans="1:23" x14ac:dyDescent="0.2">
      <c r="A26" s="726" t="s">
        <v>61</v>
      </c>
      <c r="B26" s="721" t="s">
        <v>59</v>
      </c>
      <c r="C26" s="676">
        <v>18.399999999999999</v>
      </c>
      <c r="D26" s="722"/>
      <c r="E26" s="723"/>
      <c r="F26" s="676">
        <v>16.8</v>
      </c>
      <c r="G26" s="724">
        <v>13.8</v>
      </c>
      <c r="H26" s="724">
        <v>4.2</v>
      </c>
      <c r="I26" s="724">
        <v>9.1999999999999993</v>
      </c>
      <c r="J26" s="724">
        <v>8.4</v>
      </c>
      <c r="K26" s="724">
        <v>4.5999999999999996</v>
      </c>
      <c r="L26" s="724">
        <v>12.6</v>
      </c>
      <c r="M26" s="676">
        <v>0.6</v>
      </c>
      <c r="N26" s="725">
        <v>0.5</v>
      </c>
      <c r="O26" s="592"/>
    </row>
    <row r="27" spans="1:23" x14ac:dyDescent="0.2">
      <c r="A27" s="726"/>
      <c r="B27" s="721"/>
      <c r="C27" s="676"/>
      <c r="D27" s="722"/>
      <c r="E27" s="723"/>
      <c r="F27" s="676"/>
      <c r="G27" s="724"/>
      <c r="H27" s="724"/>
      <c r="I27" s="724"/>
      <c r="J27" s="724"/>
      <c r="K27" s="724"/>
      <c r="L27" s="724"/>
      <c r="M27" s="676"/>
      <c r="N27" s="725"/>
      <c r="O27" s="592"/>
    </row>
    <row r="28" spans="1:23" s="713" customFormat="1" x14ac:dyDescent="0.2">
      <c r="A28" s="728" t="s">
        <v>341</v>
      </c>
      <c r="B28" s="721" t="s">
        <v>60</v>
      </c>
      <c r="C28" s="724">
        <v>4.3</v>
      </c>
      <c r="D28" s="722"/>
      <c r="E28" s="723"/>
      <c r="F28" s="676">
        <v>4</v>
      </c>
      <c r="G28" s="724">
        <v>3.2</v>
      </c>
      <c r="H28" s="724">
        <v>1</v>
      </c>
      <c r="I28" s="724">
        <v>2.2000000000000002</v>
      </c>
      <c r="J28" s="724">
        <v>2</v>
      </c>
      <c r="K28" s="724">
        <v>1.1000000000000001</v>
      </c>
      <c r="L28" s="724">
        <v>3</v>
      </c>
      <c r="M28" s="676">
        <v>0.13</v>
      </c>
      <c r="N28" s="725">
        <v>0.09</v>
      </c>
      <c r="O28" s="711"/>
      <c r="P28" s="712"/>
      <c r="Q28" s="712"/>
      <c r="R28" s="712"/>
      <c r="S28" s="712"/>
      <c r="T28" s="712"/>
      <c r="U28" s="712"/>
      <c r="V28" s="712"/>
      <c r="W28" s="712"/>
    </row>
    <row r="29" spans="1:23" s="713" customFormat="1" ht="13.5" thickBot="1" x14ac:dyDescent="0.25">
      <c r="A29" s="729" t="s">
        <v>342</v>
      </c>
      <c r="B29" s="730" t="s">
        <v>60</v>
      </c>
      <c r="C29" s="731">
        <v>10.5</v>
      </c>
      <c r="D29" s="732"/>
      <c r="E29" s="733"/>
      <c r="F29" s="731">
        <v>9.5</v>
      </c>
      <c r="G29" s="734">
        <v>7.9</v>
      </c>
      <c r="H29" s="734">
        <v>2.4</v>
      </c>
      <c r="I29" s="734">
        <v>5.3</v>
      </c>
      <c r="J29" s="734">
        <v>4.8</v>
      </c>
      <c r="K29" s="734">
        <v>2.6</v>
      </c>
      <c r="L29" s="734">
        <v>7.1</v>
      </c>
      <c r="M29" s="731">
        <v>0.31</v>
      </c>
      <c r="N29" s="735">
        <v>0.37</v>
      </c>
      <c r="O29" s="711"/>
      <c r="P29" s="712"/>
      <c r="Q29" s="712"/>
      <c r="R29" s="712"/>
      <c r="S29" s="712"/>
      <c r="T29" s="712"/>
      <c r="U29" s="712"/>
      <c r="V29" s="712"/>
      <c r="W29" s="712"/>
    </row>
    <row r="30" spans="1:23" x14ac:dyDescent="0.2">
      <c r="A30" s="148"/>
      <c r="B30" s="656"/>
      <c r="C30" s="657"/>
      <c r="D30" s="658"/>
      <c r="E30" s="659"/>
      <c r="F30" s="657"/>
      <c r="G30" s="660"/>
      <c r="H30" s="661"/>
      <c r="I30" s="660"/>
      <c r="J30" s="661"/>
      <c r="K30" s="660"/>
      <c r="L30" s="660"/>
      <c r="M30" s="677"/>
      <c r="N30" s="680"/>
      <c r="O30" s="592"/>
    </row>
    <row r="31" spans="1:23" x14ac:dyDescent="0.2">
      <c r="A31" s="136" t="s">
        <v>72</v>
      </c>
      <c r="B31" s="646" t="s">
        <v>59</v>
      </c>
      <c r="C31" s="650"/>
      <c r="D31" s="662"/>
      <c r="E31" s="663"/>
      <c r="F31" s="650">
        <v>5.6</v>
      </c>
      <c r="G31" s="651"/>
      <c r="H31" s="664"/>
      <c r="I31" s="651"/>
      <c r="J31" s="664"/>
      <c r="K31" s="651"/>
      <c r="L31" s="651"/>
      <c r="M31" s="676">
        <v>0.4</v>
      </c>
      <c r="N31" s="635">
        <v>0.31</v>
      </c>
      <c r="O31" s="592"/>
    </row>
    <row r="32" spans="1:23" x14ac:dyDescent="0.2">
      <c r="A32" s="136" t="s">
        <v>73</v>
      </c>
      <c r="B32" s="646" t="s">
        <v>59</v>
      </c>
      <c r="C32" s="650"/>
      <c r="D32" s="662"/>
      <c r="E32" s="663"/>
      <c r="F32" s="650">
        <v>3.5</v>
      </c>
      <c r="G32" s="651"/>
      <c r="H32" s="664"/>
      <c r="I32" s="651"/>
      <c r="J32" s="664"/>
      <c r="K32" s="651"/>
      <c r="L32" s="651"/>
      <c r="M32" s="676">
        <v>0.3</v>
      </c>
      <c r="N32" s="635">
        <v>0.19</v>
      </c>
      <c r="O32" s="592"/>
    </row>
    <row r="33" spans="1:15" x14ac:dyDescent="0.2">
      <c r="A33" s="136" t="s">
        <v>74</v>
      </c>
      <c r="B33" s="646" t="s">
        <v>59</v>
      </c>
      <c r="C33" s="650"/>
      <c r="D33" s="662"/>
      <c r="E33" s="663"/>
      <c r="F33" s="650">
        <v>12</v>
      </c>
      <c r="G33" s="651"/>
      <c r="H33" s="664"/>
      <c r="I33" s="651"/>
      <c r="J33" s="664"/>
      <c r="K33" s="651"/>
      <c r="L33" s="651"/>
      <c r="M33" s="132">
        <v>0.7</v>
      </c>
      <c r="N33" s="635">
        <v>0.54</v>
      </c>
      <c r="O33" s="592"/>
    </row>
    <row r="34" spans="1:15" x14ac:dyDescent="0.2">
      <c r="A34" s="136" t="s">
        <v>261</v>
      </c>
      <c r="B34" s="646" t="s">
        <v>59</v>
      </c>
      <c r="C34" s="650"/>
      <c r="D34" s="662"/>
      <c r="E34" s="663"/>
      <c r="F34" s="650">
        <v>14</v>
      </c>
      <c r="G34" s="651"/>
      <c r="H34" s="664"/>
      <c r="I34" s="651"/>
      <c r="J34" s="664"/>
      <c r="K34" s="651"/>
      <c r="L34" s="651"/>
      <c r="M34" s="132">
        <v>1</v>
      </c>
      <c r="N34" s="635">
        <v>0.69</v>
      </c>
      <c r="O34" s="592"/>
    </row>
    <row r="35" spans="1:15" ht="13.5" thickBot="1" x14ac:dyDescent="0.25">
      <c r="A35" s="144" t="s">
        <v>267</v>
      </c>
      <c r="B35" s="652" t="s">
        <v>59</v>
      </c>
      <c r="C35" s="653"/>
      <c r="D35" s="665"/>
      <c r="E35" s="666"/>
      <c r="F35" s="653">
        <v>10</v>
      </c>
      <c r="G35" s="655"/>
      <c r="H35" s="667"/>
      <c r="I35" s="655"/>
      <c r="J35" s="667"/>
      <c r="K35" s="655"/>
      <c r="L35" s="655"/>
      <c r="M35" s="146">
        <v>0.5</v>
      </c>
      <c r="N35" s="679">
        <v>0.47</v>
      </c>
      <c r="O35" s="592"/>
    </row>
    <row r="36" spans="1:15" x14ac:dyDescent="0.2">
      <c r="A36" s="148"/>
      <c r="B36" s="656"/>
      <c r="C36" s="657"/>
      <c r="D36" s="658"/>
      <c r="E36" s="659"/>
      <c r="F36" s="657"/>
      <c r="G36" s="660"/>
      <c r="H36" s="661"/>
      <c r="I36" s="660"/>
      <c r="J36" s="661"/>
      <c r="K36" s="660"/>
      <c r="L36" s="660"/>
      <c r="M36" s="150"/>
      <c r="N36" s="680"/>
      <c r="O36" s="592"/>
    </row>
    <row r="37" spans="1:15" x14ac:dyDescent="0.2">
      <c r="A37" s="136" t="s">
        <v>264</v>
      </c>
      <c r="B37" s="646" t="s">
        <v>60</v>
      </c>
      <c r="C37" s="650"/>
      <c r="D37" s="648"/>
      <c r="E37" s="649"/>
      <c r="F37" s="650">
        <v>2</v>
      </c>
      <c r="G37" s="651"/>
      <c r="H37" s="664"/>
      <c r="I37" s="651"/>
      <c r="J37" s="664"/>
      <c r="K37" s="651"/>
      <c r="L37" s="651"/>
      <c r="M37" s="132">
        <v>0.2</v>
      </c>
      <c r="N37" s="635">
        <v>0.19</v>
      </c>
      <c r="O37" s="592"/>
    </row>
    <row r="38" spans="1:15" x14ac:dyDescent="0.2">
      <c r="A38" s="136" t="s">
        <v>263</v>
      </c>
      <c r="B38" s="646" t="s">
        <v>60</v>
      </c>
      <c r="C38" s="650"/>
      <c r="D38" s="648"/>
      <c r="E38" s="649"/>
      <c r="F38" s="650">
        <v>1.7</v>
      </c>
      <c r="G38" s="651"/>
      <c r="H38" s="664"/>
      <c r="I38" s="651"/>
      <c r="J38" s="664"/>
      <c r="K38" s="651"/>
      <c r="L38" s="651"/>
      <c r="M38" s="132">
        <v>0.17</v>
      </c>
      <c r="N38" s="636">
        <v>0.15</v>
      </c>
    </row>
    <row r="39" spans="1:15" x14ac:dyDescent="0.2">
      <c r="A39" s="136" t="s">
        <v>262</v>
      </c>
      <c r="B39" s="646" t="s">
        <v>60</v>
      </c>
      <c r="C39" s="650"/>
      <c r="D39" s="648"/>
      <c r="E39" s="649"/>
      <c r="F39" s="650">
        <v>2.2999999999999998</v>
      </c>
      <c r="G39" s="651"/>
      <c r="H39" s="664"/>
      <c r="I39" s="651"/>
      <c r="J39" s="664"/>
      <c r="K39" s="651"/>
      <c r="L39" s="651"/>
      <c r="M39" s="132">
        <v>0.25</v>
      </c>
      <c r="N39" s="636">
        <v>0.22</v>
      </c>
    </row>
    <row r="40" spans="1:15" x14ac:dyDescent="0.2">
      <c r="A40" s="156" t="s">
        <v>268</v>
      </c>
      <c r="B40" s="646" t="s">
        <v>60</v>
      </c>
      <c r="C40" s="650"/>
      <c r="D40" s="648"/>
      <c r="E40" s="649"/>
      <c r="F40" s="668">
        <v>1.7</v>
      </c>
      <c r="G40" s="651"/>
      <c r="H40" s="664"/>
      <c r="I40" s="651"/>
      <c r="J40" s="664"/>
      <c r="K40" s="651"/>
      <c r="L40" s="651"/>
      <c r="M40" s="132">
        <v>0.17</v>
      </c>
      <c r="N40" s="636">
        <v>0.16</v>
      </c>
    </row>
    <row r="41" spans="1:15" ht="13.5" thickBot="1" x14ac:dyDescent="0.25">
      <c r="A41" s="156" t="s">
        <v>196</v>
      </c>
      <c r="B41" s="646" t="s">
        <v>59</v>
      </c>
      <c r="C41" s="650"/>
      <c r="D41" s="648"/>
      <c r="E41" s="649"/>
      <c r="F41" s="650">
        <v>0.3</v>
      </c>
      <c r="G41" s="651"/>
      <c r="H41" s="664"/>
      <c r="I41" s="651"/>
      <c r="J41" s="664"/>
      <c r="K41" s="651"/>
      <c r="L41" s="651"/>
      <c r="M41" s="132">
        <v>0.03</v>
      </c>
      <c r="N41" s="637">
        <v>0.02</v>
      </c>
    </row>
    <row r="42" spans="1:15" x14ac:dyDescent="0.2">
      <c r="A42" s="148"/>
      <c r="B42" s="656"/>
      <c r="C42" s="657"/>
      <c r="D42" s="658"/>
      <c r="E42" s="659"/>
      <c r="F42" s="657"/>
      <c r="G42" s="660"/>
      <c r="H42" s="661"/>
      <c r="I42" s="660"/>
      <c r="J42" s="661"/>
      <c r="K42" s="660"/>
      <c r="L42" s="660"/>
      <c r="M42" s="150"/>
      <c r="N42" s="680"/>
      <c r="O42" s="592"/>
    </row>
    <row r="43" spans="1:15" x14ac:dyDescent="0.2">
      <c r="A43" s="136" t="s">
        <v>269</v>
      </c>
      <c r="B43" s="646" t="s">
        <v>60</v>
      </c>
      <c r="C43" s="650">
        <v>1.6</v>
      </c>
      <c r="D43" s="648"/>
      <c r="E43" s="649"/>
      <c r="F43" s="650">
        <v>1.2</v>
      </c>
      <c r="G43" s="651">
        <v>1.2</v>
      </c>
      <c r="H43" s="651">
        <v>0.3</v>
      </c>
      <c r="I43" s="651">
        <v>0.8</v>
      </c>
      <c r="J43" s="651">
        <v>0.6</v>
      </c>
      <c r="K43" s="651">
        <v>0.4</v>
      </c>
      <c r="L43" s="651">
        <v>0.9</v>
      </c>
      <c r="M43" s="132">
        <v>0.17</v>
      </c>
      <c r="N43" s="636">
        <v>0.14000000000000001</v>
      </c>
      <c r="O43" s="592"/>
    </row>
    <row r="44" spans="1:15" x14ac:dyDescent="0.2">
      <c r="A44" s="136" t="s">
        <v>75</v>
      </c>
      <c r="B44" s="646" t="s">
        <v>60</v>
      </c>
      <c r="C44" s="650">
        <v>7.5</v>
      </c>
      <c r="D44" s="648"/>
      <c r="E44" s="649"/>
      <c r="F44" s="650">
        <v>4.2</v>
      </c>
      <c r="G44" s="651">
        <v>5.6</v>
      </c>
      <c r="H44" s="651">
        <v>1.1000000000000001</v>
      </c>
      <c r="I44" s="651">
        <v>3.8</v>
      </c>
      <c r="J44" s="651">
        <v>2.1</v>
      </c>
      <c r="K44" s="651">
        <v>1.9</v>
      </c>
      <c r="L44" s="651">
        <v>3.2</v>
      </c>
      <c r="M44" s="132">
        <v>0.45</v>
      </c>
      <c r="N44" s="636">
        <v>0.51</v>
      </c>
      <c r="O44" s="592"/>
    </row>
    <row r="45" spans="1:15" x14ac:dyDescent="0.2">
      <c r="A45" s="136" t="s">
        <v>270</v>
      </c>
      <c r="B45" s="646" t="s">
        <v>60</v>
      </c>
      <c r="C45" s="650">
        <v>5.5</v>
      </c>
      <c r="D45" s="648"/>
      <c r="E45" s="649"/>
      <c r="F45" s="650">
        <v>2.2999999999999998</v>
      </c>
      <c r="G45" s="651">
        <v>4.0999999999999996</v>
      </c>
      <c r="H45" s="651">
        <v>0.6</v>
      </c>
      <c r="I45" s="651">
        <v>2.8</v>
      </c>
      <c r="J45" s="651">
        <v>1.2</v>
      </c>
      <c r="K45" s="651">
        <v>1.4</v>
      </c>
      <c r="L45" s="651">
        <v>1.7</v>
      </c>
      <c r="M45" s="132">
        <v>0.26</v>
      </c>
      <c r="N45" s="636">
        <v>0.33</v>
      </c>
      <c r="O45" s="592"/>
    </row>
    <row r="46" spans="1:15" x14ac:dyDescent="0.2">
      <c r="A46" s="136" t="s">
        <v>271</v>
      </c>
      <c r="B46" s="646" t="s">
        <v>60</v>
      </c>
      <c r="C46" s="650">
        <v>0.6</v>
      </c>
      <c r="D46" s="648"/>
      <c r="E46" s="649"/>
      <c r="F46" s="650">
        <v>0.3</v>
      </c>
      <c r="G46" s="651">
        <v>0.5</v>
      </c>
      <c r="H46" s="651">
        <v>0.1</v>
      </c>
      <c r="I46" s="651">
        <v>0.3</v>
      </c>
      <c r="J46" s="651">
        <v>0.2</v>
      </c>
      <c r="K46" s="651">
        <v>0.2</v>
      </c>
      <c r="L46" s="651">
        <v>0.2</v>
      </c>
      <c r="M46" s="132">
        <v>0.06</v>
      </c>
      <c r="N46" s="636">
        <v>0.04</v>
      </c>
      <c r="O46" s="592"/>
    </row>
    <row r="47" spans="1:15" x14ac:dyDescent="0.2">
      <c r="A47" s="136" t="s">
        <v>100</v>
      </c>
      <c r="B47" s="646" t="s">
        <v>60</v>
      </c>
      <c r="C47" s="650">
        <v>8.1999999999999993</v>
      </c>
      <c r="D47" s="648"/>
      <c r="E47" s="649"/>
      <c r="F47" s="650">
        <v>3.5</v>
      </c>
      <c r="G47" s="651">
        <v>6.2</v>
      </c>
      <c r="H47" s="651">
        <v>0.9</v>
      </c>
      <c r="I47" s="651">
        <v>4.0999999999999996</v>
      </c>
      <c r="J47" s="651">
        <v>1.8</v>
      </c>
      <c r="K47" s="651">
        <v>2.1</v>
      </c>
      <c r="L47" s="651">
        <v>2.6</v>
      </c>
      <c r="M47" s="132">
        <v>0.55000000000000004</v>
      </c>
      <c r="N47" s="636">
        <v>0.56000000000000005</v>
      </c>
      <c r="O47" s="592"/>
    </row>
    <row r="48" spans="1:15" ht="13.5" thickBot="1" x14ac:dyDescent="0.25">
      <c r="A48" s="144" t="s">
        <v>9</v>
      </c>
      <c r="B48" s="652" t="s">
        <v>59</v>
      </c>
      <c r="C48" s="653">
        <v>4.2</v>
      </c>
      <c r="D48" s="654"/>
      <c r="E48" s="669"/>
      <c r="F48" s="653">
        <v>2.2999999999999998</v>
      </c>
      <c r="G48" s="655">
        <v>3.2</v>
      </c>
      <c r="H48" s="655">
        <v>0.6</v>
      </c>
      <c r="I48" s="655">
        <v>2.1</v>
      </c>
      <c r="J48" s="655">
        <v>1.2</v>
      </c>
      <c r="K48" s="655">
        <v>1.1000000000000001</v>
      </c>
      <c r="L48" s="655">
        <v>1.8</v>
      </c>
      <c r="M48" s="146">
        <v>0.25</v>
      </c>
      <c r="N48" s="637">
        <v>0.23</v>
      </c>
      <c r="O48" s="592"/>
    </row>
    <row r="49" spans="1:15" x14ac:dyDescent="0.2">
      <c r="A49" s="148"/>
      <c r="B49" s="656"/>
      <c r="C49" s="657"/>
      <c r="D49" s="658"/>
      <c r="E49" s="659"/>
      <c r="F49" s="657"/>
      <c r="G49" s="670"/>
      <c r="H49" s="671"/>
      <c r="I49" s="660"/>
      <c r="J49" s="661"/>
      <c r="K49" s="660"/>
      <c r="L49" s="661"/>
      <c r="M49" s="150"/>
      <c r="N49" s="680"/>
      <c r="O49" s="592"/>
    </row>
    <row r="50" spans="1:15" x14ac:dyDescent="0.2">
      <c r="A50" s="136"/>
      <c r="B50" s="646"/>
      <c r="C50" s="672" t="s">
        <v>62</v>
      </c>
      <c r="D50" s="1193" t="s">
        <v>63</v>
      </c>
      <c r="E50" s="1194"/>
      <c r="F50" s="672" t="s">
        <v>171</v>
      </c>
      <c r="G50" s="1198" t="s">
        <v>172</v>
      </c>
      <c r="H50" s="1199"/>
      <c r="I50" s="651"/>
      <c r="J50" s="664"/>
      <c r="K50" s="651"/>
      <c r="L50" s="664"/>
      <c r="M50" s="132"/>
      <c r="N50" s="635"/>
      <c r="O50" s="592"/>
    </row>
    <row r="51" spans="1:15" x14ac:dyDescent="0.2">
      <c r="A51" s="136"/>
      <c r="B51" s="646"/>
      <c r="C51" s="664" t="s">
        <v>58</v>
      </c>
      <c r="D51" s="1200" t="s">
        <v>58</v>
      </c>
      <c r="E51" s="1201"/>
      <c r="F51" s="673" t="s">
        <v>57</v>
      </c>
      <c r="G51" s="1159" t="s">
        <v>57</v>
      </c>
      <c r="H51" s="1160"/>
      <c r="I51" s="651"/>
      <c r="J51" s="664"/>
      <c r="K51" s="651"/>
      <c r="L51" s="664"/>
      <c r="M51" s="132"/>
      <c r="N51" s="635"/>
      <c r="O51" s="592"/>
    </row>
    <row r="52" spans="1:15" x14ac:dyDescent="0.2">
      <c r="A52" s="136" t="s">
        <v>25</v>
      </c>
      <c r="B52" s="646" t="s">
        <v>64</v>
      </c>
      <c r="C52" s="650">
        <v>2.7</v>
      </c>
      <c r="D52" s="1195">
        <v>1.5</v>
      </c>
      <c r="E52" s="1160"/>
      <c r="F52" s="674">
        <v>2.7</v>
      </c>
      <c r="G52" s="1161">
        <v>1.5</v>
      </c>
      <c r="H52" s="1160"/>
      <c r="I52" s="651"/>
      <c r="J52" s="664"/>
      <c r="K52" s="651"/>
      <c r="L52" s="664"/>
      <c r="M52" s="132">
        <v>1</v>
      </c>
      <c r="N52" s="636">
        <v>1.04</v>
      </c>
    </row>
    <row r="53" spans="1:15" x14ac:dyDescent="0.2">
      <c r="A53" s="136" t="s">
        <v>65</v>
      </c>
      <c r="B53" s="646" t="s">
        <v>64</v>
      </c>
      <c r="C53" s="650">
        <v>1</v>
      </c>
      <c r="D53" s="1195">
        <v>0.6</v>
      </c>
      <c r="E53" s="1160"/>
      <c r="F53" s="674">
        <v>1</v>
      </c>
      <c r="G53" s="1161">
        <v>0.6</v>
      </c>
      <c r="H53" s="1160"/>
      <c r="I53" s="651"/>
      <c r="J53" s="664"/>
      <c r="K53" s="651"/>
      <c r="L53" s="664"/>
      <c r="M53" s="132">
        <v>0.4</v>
      </c>
      <c r="N53" s="636">
        <v>0.39</v>
      </c>
    </row>
    <row r="54" spans="1:15" x14ac:dyDescent="0.2">
      <c r="A54" s="136" t="s">
        <v>11</v>
      </c>
      <c r="B54" s="127" t="s">
        <v>64</v>
      </c>
      <c r="C54" s="132"/>
      <c r="D54" s="1196">
        <v>0.8</v>
      </c>
      <c r="E54" s="1197"/>
      <c r="F54" s="157"/>
      <c r="G54" s="1209">
        <v>0.8</v>
      </c>
      <c r="H54" s="1197"/>
      <c r="I54" s="135"/>
      <c r="J54" s="131"/>
      <c r="K54" s="135"/>
      <c r="L54" s="131"/>
      <c r="M54" s="132">
        <v>0.4</v>
      </c>
      <c r="N54" s="636">
        <v>0.36</v>
      </c>
    </row>
    <row r="55" spans="1:15" ht="13.5" thickBot="1" x14ac:dyDescent="0.25">
      <c r="A55" s="144" t="s">
        <v>66</v>
      </c>
      <c r="B55" s="145" t="s">
        <v>64</v>
      </c>
      <c r="C55" s="146"/>
      <c r="D55" s="1171">
        <v>3</v>
      </c>
      <c r="E55" s="1172"/>
      <c r="F55" s="159"/>
      <c r="G55" s="1208">
        <v>3</v>
      </c>
      <c r="H55" s="1172"/>
      <c r="I55" s="147"/>
      <c r="J55" s="155"/>
      <c r="K55" s="147"/>
      <c r="L55" s="155"/>
      <c r="M55" s="146">
        <v>1.5</v>
      </c>
      <c r="N55" s="637">
        <v>1.67</v>
      </c>
    </row>
    <row r="56" spans="1:15" x14ac:dyDescent="0.2">
      <c r="A56" s="148"/>
      <c r="B56" s="149"/>
      <c r="C56" s="150"/>
      <c r="D56" s="151"/>
      <c r="E56" s="152"/>
      <c r="F56" s="150"/>
      <c r="G56" s="160"/>
      <c r="H56" s="161"/>
      <c r="I56" s="153"/>
      <c r="J56" s="154"/>
      <c r="K56" s="153"/>
      <c r="L56" s="154"/>
      <c r="M56" s="150"/>
      <c r="N56" s="680"/>
    </row>
    <row r="57" spans="1:15" x14ac:dyDescent="0.2">
      <c r="A57" s="162" t="s">
        <v>84</v>
      </c>
      <c r="B57" s="127" t="s">
        <v>60</v>
      </c>
      <c r="C57" s="132"/>
      <c r="D57" s="133"/>
      <c r="E57" s="134"/>
      <c r="F57" s="132">
        <v>9.6</v>
      </c>
      <c r="G57" s="163"/>
      <c r="H57" s="164"/>
      <c r="I57" s="135"/>
      <c r="J57" s="131"/>
      <c r="K57" s="135"/>
      <c r="L57" s="131"/>
      <c r="M57" s="132">
        <v>0.8</v>
      </c>
      <c r="N57" s="635">
        <v>0.71</v>
      </c>
    </row>
    <row r="58" spans="1:15" x14ac:dyDescent="0.2">
      <c r="A58" s="136" t="s">
        <v>85</v>
      </c>
      <c r="B58" s="127" t="s">
        <v>60</v>
      </c>
      <c r="C58" s="132"/>
      <c r="D58" s="133"/>
      <c r="E58" s="134"/>
      <c r="F58" s="132">
        <v>4.4000000000000004</v>
      </c>
      <c r="G58" s="163"/>
      <c r="H58" s="164"/>
      <c r="I58" s="135"/>
      <c r="J58" s="131"/>
      <c r="K58" s="135"/>
      <c r="L58" s="131"/>
      <c r="M58" s="132">
        <v>0.4</v>
      </c>
      <c r="N58" s="635">
        <v>0.24</v>
      </c>
    </row>
    <row r="59" spans="1:15" x14ac:dyDescent="0.2">
      <c r="A59" s="136" t="s">
        <v>86</v>
      </c>
      <c r="B59" s="127" t="s">
        <v>60</v>
      </c>
      <c r="C59" s="132"/>
      <c r="D59" s="133"/>
      <c r="E59" s="134"/>
      <c r="F59" s="132">
        <v>1.6</v>
      </c>
      <c r="G59" s="163"/>
      <c r="H59" s="164"/>
      <c r="I59" s="135"/>
      <c r="J59" s="131"/>
      <c r="K59" s="135"/>
      <c r="L59" s="131"/>
      <c r="M59" s="132">
        <v>0.1</v>
      </c>
      <c r="N59" s="635">
        <v>0.1</v>
      </c>
    </row>
    <row r="60" spans="1:15" x14ac:dyDescent="0.2">
      <c r="A60" s="156" t="s">
        <v>79</v>
      </c>
      <c r="B60" s="127" t="s">
        <v>60</v>
      </c>
      <c r="C60" s="132"/>
      <c r="D60" s="133"/>
      <c r="E60" s="134"/>
      <c r="F60" s="132">
        <v>1.6</v>
      </c>
      <c r="G60" s="163"/>
      <c r="H60" s="164"/>
      <c r="I60" s="135"/>
      <c r="J60" s="131"/>
      <c r="K60" s="135"/>
      <c r="L60" s="131"/>
      <c r="M60" s="631">
        <v>0.2</v>
      </c>
      <c r="N60" s="635">
        <v>0.2</v>
      </c>
    </row>
    <row r="61" spans="1:15" x14ac:dyDescent="0.2">
      <c r="A61" s="156" t="s">
        <v>80</v>
      </c>
      <c r="B61" s="127" t="s">
        <v>60</v>
      </c>
      <c r="C61" s="132"/>
      <c r="D61" s="133"/>
      <c r="E61" s="134"/>
      <c r="F61" s="132">
        <v>1.6</v>
      </c>
      <c r="G61" s="163"/>
      <c r="H61" s="164"/>
      <c r="I61" s="135"/>
      <c r="J61" s="131"/>
      <c r="K61" s="135"/>
      <c r="L61" s="131"/>
      <c r="M61" s="631">
        <v>0.17</v>
      </c>
      <c r="N61" s="635">
        <v>0.17</v>
      </c>
    </row>
    <row r="62" spans="1:15" x14ac:dyDescent="0.2">
      <c r="A62" s="156" t="s">
        <v>81</v>
      </c>
      <c r="B62" s="127" t="s">
        <v>60</v>
      </c>
      <c r="C62" s="132"/>
      <c r="D62" s="133"/>
      <c r="E62" s="134"/>
      <c r="F62" s="132">
        <v>1.6</v>
      </c>
      <c r="G62" s="163"/>
      <c r="H62" s="164"/>
      <c r="I62" s="135"/>
      <c r="J62" s="131"/>
      <c r="K62" s="135"/>
      <c r="L62" s="131"/>
      <c r="M62" s="631">
        <v>0.11</v>
      </c>
      <c r="N62" s="635">
        <v>0.11</v>
      </c>
    </row>
    <row r="63" spans="1:15" x14ac:dyDescent="0.2">
      <c r="A63" s="156" t="s">
        <v>82</v>
      </c>
      <c r="B63" s="127" t="s">
        <v>60</v>
      </c>
      <c r="C63" s="132"/>
      <c r="D63" s="133"/>
      <c r="E63" s="134"/>
      <c r="F63" s="132">
        <v>1.6</v>
      </c>
      <c r="G63" s="163"/>
      <c r="H63" s="164"/>
      <c r="I63" s="135"/>
      <c r="J63" s="131"/>
      <c r="K63" s="135"/>
      <c r="L63" s="131"/>
      <c r="M63" s="631">
        <v>0.11</v>
      </c>
      <c r="N63" s="635">
        <v>0.11</v>
      </c>
    </row>
    <row r="64" spans="1:15" ht="13.5" thickBot="1" x14ac:dyDescent="0.25">
      <c r="A64" s="165" t="s">
        <v>83</v>
      </c>
      <c r="B64" s="145" t="s">
        <v>60</v>
      </c>
      <c r="C64" s="146"/>
      <c r="D64" s="119"/>
      <c r="E64" s="120"/>
      <c r="F64" s="146">
        <v>1.6</v>
      </c>
      <c r="G64" s="166"/>
      <c r="H64" s="167"/>
      <c r="I64" s="147"/>
      <c r="J64" s="155"/>
      <c r="K64" s="147"/>
      <c r="L64" s="155"/>
      <c r="M64" s="632">
        <v>7.0000000000000007E-2</v>
      </c>
      <c r="N64" s="679">
        <v>7.0000000000000007E-2</v>
      </c>
    </row>
    <row r="65" spans="1:23" x14ac:dyDescent="0.2">
      <c r="A65" s="168"/>
      <c r="B65" s="149"/>
      <c r="C65" s="150"/>
      <c r="D65" s="151"/>
      <c r="E65" s="152"/>
      <c r="F65" s="150"/>
      <c r="G65" s="160"/>
      <c r="H65" s="161"/>
      <c r="I65" s="153"/>
      <c r="J65" s="154"/>
      <c r="K65" s="153"/>
      <c r="L65" s="154"/>
      <c r="M65" s="633"/>
      <c r="N65" s="680"/>
    </row>
    <row r="66" spans="1:23" x14ac:dyDescent="0.2">
      <c r="A66" s="136"/>
      <c r="B66" s="127"/>
      <c r="C66" s="132"/>
      <c r="D66" s="133"/>
      <c r="E66" s="134"/>
      <c r="F66" s="132"/>
      <c r="G66" s="1202" t="s">
        <v>190</v>
      </c>
      <c r="H66" s="1203"/>
      <c r="I66" s="135"/>
      <c r="J66" s="131"/>
      <c r="K66" s="135"/>
      <c r="L66" s="131"/>
      <c r="M66" s="132"/>
      <c r="N66" s="635"/>
    </row>
    <row r="67" spans="1:23" x14ac:dyDescent="0.2">
      <c r="A67" s="136"/>
      <c r="B67" s="127"/>
      <c r="C67" s="132"/>
      <c r="D67" s="133"/>
      <c r="E67" s="134"/>
      <c r="F67" s="132"/>
      <c r="G67" s="1206" t="s">
        <v>57</v>
      </c>
      <c r="H67" s="1207"/>
      <c r="I67" s="135"/>
      <c r="J67" s="131"/>
      <c r="K67" s="135"/>
      <c r="L67" s="131"/>
      <c r="M67" s="132"/>
      <c r="N67" s="635"/>
    </row>
    <row r="68" spans="1:23" ht="14.25" customHeight="1" x14ac:dyDescent="0.2">
      <c r="A68" s="169" t="s">
        <v>185</v>
      </c>
      <c r="B68" s="127" t="s">
        <v>64</v>
      </c>
      <c r="C68" s="132"/>
      <c r="D68" s="133"/>
      <c r="E68" s="134"/>
      <c r="F68" s="157">
        <v>16</v>
      </c>
      <c r="G68" s="1204">
        <v>16</v>
      </c>
      <c r="H68" s="1205"/>
      <c r="I68" s="135"/>
      <c r="J68" s="131"/>
      <c r="K68" s="135"/>
      <c r="L68" s="131"/>
      <c r="M68" s="631">
        <v>3.4</v>
      </c>
      <c r="N68" s="635">
        <v>3.38</v>
      </c>
    </row>
    <row r="69" spans="1:23" ht="13.5" customHeight="1" thickBot="1" x14ac:dyDescent="0.25">
      <c r="A69" s="170" t="s">
        <v>186</v>
      </c>
      <c r="B69" s="171" t="s">
        <v>64</v>
      </c>
      <c r="C69" s="172"/>
      <c r="D69" s="173"/>
      <c r="E69" s="174"/>
      <c r="F69" s="175">
        <v>2.8</v>
      </c>
      <c r="G69" s="1191">
        <v>2.8</v>
      </c>
      <c r="H69" s="1192"/>
      <c r="I69" s="176"/>
      <c r="J69" s="177"/>
      <c r="K69" s="176"/>
      <c r="L69" s="177"/>
      <c r="M69" s="634">
        <v>1.1000000000000001</v>
      </c>
      <c r="N69" s="679">
        <v>1.06</v>
      </c>
    </row>
    <row r="70" spans="1:23" x14ac:dyDescent="0.2">
      <c r="A70" s="178"/>
      <c r="F70" s="179"/>
      <c r="H70" s="116"/>
      <c r="M70" s="180"/>
    </row>
    <row r="71" spans="1:23" s="709" customFormat="1" x14ac:dyDescent="0.2">
      <c r="A71" s="178"/>
      <c r="C71" s="116"/>
      <c r="D71" s="116"/>
      <c r="E71" s="116"/>
      <c r="F71" s="179"/>
      <c r="G71" s="108"/>
      <c r="H71" s="116"/>
      <c r="I71" s="108"/>
      <c r="J71" s="117"/>
      <c r="K71" s="108"/>
      <c r="L71" s="117"/>
      <c r="M71" s="180"/>
      <c r="N71" s="593"/>
      <c r="O71" s="571"/>
      <c r="P71" s="571"/>
      <c r="Q71" s="571"/>
      <c r="R71" s="571"/>
      <c r="S71" s="571"/>
      <c r="T71" s="571"/>
      <c r="U71" s="571"/>
      <c r="V71" s="571"/>
      <c r="W71" s="571"/>
    </row>
    <row r="72" spans="1:23" s="710" customFormat="1" ht="43.9" customHeight="1" x14ac:dyDescent="0.2">
      <c r="A72" s="178"/>
      <c r="C72" s="116"/>
      <c r="D72" s="116"/>
      <c r="E72" s="116"/>
      <c r="F72" s="179"/>
      <c r="G72" s="108"/>
      <c r="H72" s="116"/>
      <c r="I72" s="108"/>
      <c r="J72" s="117"/>
      <c r="K72" s="108"/>
      <c r="L72" s="117"/>
      <c r="M72" s="180"/>
      <c r="N72" s="593"/>
      <c r="O72" s="571"/>
      <c r="P72" s="571"/>
      <c r="Q72" s="571"/>
      <c r="R72" s="571"/>
      <c r="S72" s="571"/>
      <c r="T72" s="571"/>
      <c r="U72" s="571"/>
      <c r="V72" s="571"/>
      <c r="W72" s="571"/>
    </row>
    <row r="73" spans="1:23" s="710" customFormat="1" ht="49.9" customHeight="1" x14ac:dyDescent="0.2">
      <c r="A73" s="178"/>
      <c r="C73" s="116"/>
      <c r="D73" s="116"/>
      <c r="E73" s="116"/>
      <c r="F73" s="179"/>
      <c r="G73" s="108"/>
      <c r="H73" s="116"/>
      <c r="I73" s="108"/>
      <c r="J73" s="117"/>
      <c r="K73" s="108"/>
      <c r="L73" s="117"/>
      <c r="M73" s="180"/>
      <c r="N73" s="593"/>
      <c r="O73" s="571"/>
      <c r="P73" s="571"/>
      <c r="Q73" s="571"/>
      <c r="R73" s="571"/>
      <c r="S73" s="571"/>
      <c r="T73" s="571"/>
      <c r="U73" s="571"/>
      <c r="V73" s="571"/>
      <c r="W73" s="571"/>
    </row>
    <row r="74" spans="1:23" ht="38.450000000000003" customHeight="1" x14ac:dyDescent="0.2">
      <c r="A74" s="178"/>
      <c r="F74" s="179"/>
      <c r="H74" s="116"/>
      <c r="M74" s="180"/>
    </row>
    <row r="75" spans="1:23" x14ac:dyDescent="0.2">
      <c r="K75" s="1154" t="str">
        <f>K1</f>
        <v xml:space="preserve">Koordination 
Landwirtschaft / Umweltschutz
Anhang (Stand April 2021)
</v>
      </c>
      <c r="L75" s="1154"/>
      <c r="M75" s="1154"/>
    </row>
    <row r="76" spans="1:23" x14ac:dyDescent="0.2">
      <c r="K76" s="1154"/>
      <c r="L76" s="1154"/>
      <c r="M76" s="1154"/>
    </row>
    <row r="77" spans="1:23" x14ac:dyDescent="0.2">
      <c r="K77" s="1154"/>
      <c r="L77" s="1154"/>
      <c r="M77" s="1154"/>
    </row>
    <row r="78" spans="1:23" x14ac:dyDescent="0.2">
      <c r="K78" s="1154"/>
      <c r="L78" s="1154"/>
      <c r="M78" s="1154"/>
    </row>
    <row r="79" spans="1:23" x14ac:dyDescent="0.2">
      <c r="K79" s="1154"/>
      <c r="L79" s="1154"/>
      <c r="M79" s="1154"/>
    </row>
    <row r="80" spans="1:23" ht="13.5" thickBot="1" x14ac:dyDescent="0.25"/>
    <row r="81" spans="1:13" ht="13.5" thickBot="1" x14ac:dyDescent="0.25">
      <c r="A81" s="181" t="s">
        <v>235</v>
      </c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3"/>
    </row>
    <row r="82" spans="1:13" x14ac:dyDescent="0.2">
      <c r="A82" s="184"/>
      <c r="B82" s="150"/>
      <c r="C82" s="185" t="s">
        <v>76</v>
      </c>
      <c r="D82" s="186"/>
      <c r="E82" s="187"/>
      <c r="F82" s="187"/>
      <c r="G82" s="188"/>
      <c r="H82" s="189"/>
      <c r="I82" s="188"/>
      <c r="J82" s="189"/>
      <c r="K82" s="188"/>
      <c r="L82" s="189"/>
      <c r="M82" s="190"/>
    </row>
    <row r="83" spans="1:13" x14ac:dyDescent="0.2">
      <c r="A83" s="191" t="s">
        <v>5</v>
      </c>
      <c r="B83" s="132"/>
      <c r="C83" s="132"/>
      <c r="D83" s="122"/>
      <c r="M83" s="192"/>
    </row>
    <row r="84" spans="1:13" x14ac:dyDescent="0.2">
      <c r="A84" s="136" t="s">
        <v>187</v>
      </c>
      <c r="B84" s="132" t="s">
        <v>42</v>
      </c>
      <c r="C84" s="132">
        <v>2.4</v>
      </c>
      <c r="D84" s="193"/>
      <c r="M84" s="192"/>
    </row>
    <row r="85" spans="1:13" x14ac:dyDescent="0.2">
      <c r="A85" s="194"/>
      <c r="B85" s="132"/>
      <c r="C85" s="132"/>
      <c r="D85" s="195"/>
      <c r="M85" s="192"/>
    </row>
    <row r="86" spans="1:13" x14ac:dyDescent="0.2">
      <c r="A86" s="191" t="s">
        <v>8</v>
      </c>
      <c r="B86" s="132"/>
      <c r="C86" s="132"/>
      <c r="D86" s="122"/>
      <c r="M86" s="192"/>
    </row>
    <row r="87" spans="1:13" x14ac:dyDescent="0.2">
      <c r="A87" s="136" t="s">
        <v>43</v>
      </c>
      <c r="B87" s="132" t="s">
        <v>44</v>
      </c>
      <c r="C87" s="132">
        <v>0.5</v>
      </c>
      <c r="D87" s="122"/>
      <c r="M87" s="192"/>
    </row>
    <row r="88" spans="1:13" x14ac:dyDescent="0.2">
      <c r="A88" s="136"/>
      <c r="B88" s="132"/>
      <c r="C88" s="132"/>
      <c r="D88" s="122"/>
      <c r="M88" s="192"/>
    </row>
    <row r="89" spans="1:13" x14ac:dyDescent="0.2">
      <c r="A89" s="191" t="s">
        <v>10</v>
      </c>
      <c r="B89" s="132"/>
      <c r="C89" s="132"/>
      <c r="D89" s="122"/>
      <c r="M89" s="192"/>
    </row>
    <row r="90" spans="1:13" x14ac:dyDescent="0.2">
      <c r="A90" s="136" t="s">
        <v>45</v>
      </c>
      <c r="B90" s="132" t="s">
        <v>47</v>
      </c>
      <c r="C90" s="676">
        <v>0.25</v>
      </c>
      <c r="D90" s="129"/>
      <c r="E90" s="196"/>
      <c r="M90" s="192"/>
    </row>
    <row r="91" spans="1:13" x14ac:dyDescent="0.2">
      <c r="A91" s="136" t="s">
        <v>46</v>
      </c>
      <c r="B91" s="132" t="s">
        <v>99</v>
      </c>
      <c r="C91" s="676">
        <v>0.5</v>
      </c>
      <c r="D91" s="1210" t="s">
        <v>188</v>
      </c>
      <c r="E91" s="1211"/>
      <c r="F91" s="122"/>
      <c r="M91" s="192"/>
    </row>
    <row r="92" spans="1:13" x14ac:dyDescent="0.2">
      <c r="A92" s="136"/>
      <c r="B92" s="132"/>
      <c r="C92" s="676"/>
      <c r="D92" s="197"/>
      <c r="E92" s="198"/>
      <c r="M92" s="192"/>
    </row>
    <row r="93" spans="1:13" x14ac:dyDescent="0.2">
      <c r="A93" s="191" t="s">
        <v>6</v>
      </c>
      <c r="C93" s="678"/>
      <c r="D93" s="199"/>
      <c r="E93" s="200"/>
      <c r="M93" s="192"/>
    </row>
    <row r="94" spans="1:13" x14ac:dyDescent="0.2">
      <c r="A94" s="136" t="s">
        <v>232</v>
      </c>
      <c r="B94" s="132" t="s">
        <v>42</v>
      </c>
      <c r="C94" s="676">
        <v>2.4</v>
      </c>
      <c r="D94" s="199"/>
      <c r="E94" s="200"/>
      <c r="M94" s="192"/>
    </row>
    <row r="95" spans="1:13" x14ac:dyDescent="0.2">
      <c r="A95" s="136"/>
      <c r="B95" s="132"/>
      <c r="C95" s="676"/>
      <c r="D95" s="199"/>
      <c r="E95" s="200"/>
      <c r="M95" s="192"/>
    </row>
    <row r="96" spans="1:13" x14ac:dyDescent="0.2">
      <c r="A96" s="191" t="s">
        <v>215</v>
      </c>
      <c r="B96" s="132"/>
      <c r="C96" s="676"/>
      <c r="D96" s="199"/>
      <c r="E96" s="200"/>
      <c r="M96" s="192"/>
    </row>
    <row r="97" spans="1:13" x14ac:dyDescent="0.2">
      <c r="A97" s="136" t="s">
        <v>191</v>
      </c>
      <c r="B97" s="132" t="s">
        <v>42</v>
      </c>
      <c r="C97" s="676">
        <v>0.25</v>
      </c>
      <c r="D97" s="199"/>
      <c r="E97" s="200"/>
      <c r="M97" s="192"/>
    </row>
    <row r="98" spans="1:13" x14ac:dyDescent="0.2">
      <c r="A98" s="136"/>
      <c r="B98" s="132"/>
      <c r="C98" s="676"/>
      <c r="D98" s="199"/>
      <c r="E98" s="200"/>
      <c r="M98" s="192"/>
    </row>
    <row r="99" spans="1:13" x14ac:dyDescent="0.2">
      <c r="A99" s="191" t="s">
        <v>26</v>
      </c>
      <c r="B99" s="132"/>
      <c r="C99" s="676"/>
      <c r="D99" s="122"/>
      <c r="M99" s="192"/>
    </row>
    <row r="100" spans="1:13" x14ac:dyDescent="0.2">
      <c r="A100" s="136" t="s">
        <v>191</v>
      </c>
      <c r="B100" s="132" t="s">
        <v>42</v>
      </c>
      <c r="C100" s="676">
        <v>0.25</v>
      </c>
      <c r="D100" s="122"/>
      <c r="M100" s="192"/>
    </row>
    <row r="101" spans="1:13" x14ac:dyDescent="0.2">
      <c r="A101" s="136"/>
      <c r="B101" s="132"/>
      <c r="C101" s="132"/>
      <c r="D101" s="122"/>
      <c r="M101" s="192"/>
    </row>
    <row r="102" spans="1:13" x14ac:dyDescent="0.2">
      <c r="A102" s="191" t="s">
        <v>48</v>
      </c>
      <c r="C102" s="489" t="s">
        <v>236</v>
      </c>
      <c r="D102" s="490" t="s">
        <v>237</v>
      </c>
      <c r="E102" s="1212" t="s">
        <v>238</v>
      </c>
      <c r="F102" s="1213"/>
      <c r="G102" s="202"/>
      <c r="M102" s="192"/>
    </row>
    <row r="103" spans="1:13" ht="14.25" x14ac:dyDescent="0.2">
      <c r="A103" s="136" t="s">
        <v>158</v>
      </c>
      <c r="B103" s="203" t="s">
        <v>274</v>
      </c>
      <c r="C103" s="133">
        <v>1</v>
      </c>
      <c r="D103" s="201">
        <v>1.2</v>
      </c>
      <c r="E103" s="203"/>
      <c r="F103" s="203"/>
      <c r="G103" s="202"/>
      <c r="M103" s="192"/>
    </row>
    <row r="104" spans="1:13" ht="14.25" x14ac:dyDescent="0.2">
      <c r="A104" s="204" t="s">
        <v>116</v>
      </c>
      <c r="B104" s="205" t="s">
        <v>275</v>
      </c>
      <c r="C104" s="158">
        <v>0.33</v>
      </c>
      <c r="D104" s="201">
        <v>0.4</v>
      </c>
      <c r="E104" s="203"/>
      <c r="F104" s="203"/>
      <c r="G104" s="202"/>
      <c r="M104" s="192"/>
    </row>
    <row r="105" spans="1:13" x14ac:dyDescent="0.2">
      <c r="A105" s="136"/>
      <c r="B105" s="132"/>
      <c r="C105" s="132"/>
      <c r="D105" s="119"/>
      <c r="E105" s="206"/>
      <c r="F105" s="206"/>
      <c r="M105" s="192"/>
    </row>
    <row r="106" spans="1:13" x14ac:dyDescent="0.2">
      <c r="A106" s="191" t="s">
        <v>111</v>
      </c>
      <c r="B106" s="132"/>
      <c r="C106" s="132"/>
      <c r="D106" s="1206" t="s">
        <v>277</v>
      </c>
      <c r="E106" s="1215"/>
      <c r="F106" s="207"/>
      <c r="M106" s="192"/>
    </row>
    <row r="107" spans="1:13" ht="14.25" x14ac:dyDescent="0.2">
      <c r="A107" s="204" t="s">
        <v>14</v>
      </c>
      <c r="B107" s="491" t="s">
        <v>276</v>
      </c>
      <c r="C107" s="493">
        <v>6</v>
      </c>
      <c r="D107" s="1216">
        <v>0.6</v>
      </c>
      <c r="E107" s="1215"/>
      <c r="M107" s="192"/>
    </row>
    <row r="108" spans="1:13" ht="14.25" x14ac:dyDescent="0.2">
      <c r="A108" s="204" t="s">
        <v>15</v>
      </c>
      <c r="B108" s="491" t="s">
        <v>276</v>
      </c>
      <c r="C108" s="493">
        <v>1.7999999999999999E-2</v>
      </c>
      <c r="D108" s="1196"/>
      <c r="E108" s="1217"/>
      <c r="M108" s="192"/>
    </row>
    <row r="109" spans="1:13" ht="14.25" x14ac:dyDescent="0.2">
      <c r="A109" s="204" t="s">
        <v>152</v>
      </c>
      <c r="B109" s="491" t="s">
        <v>276</v>
      </c>
      <c r="C109" s="158">
        <v>36</v>
      </c>
      <c r="D109" s="1214">
        <v>6</v>
      </c>
      <c r="E109" s="1215"/>
      <c r="F109" s="179"/>
      <c r="M109" s="192"/>
    </row>
    <row r="110" spans="1:13" ht="14.25" x14ac:dyDescent="0.2">
      <c r="A110" s="136" t="s">
        <v>112</v>
      </c>
      <c r="B110" s="491" t="s">
        <v>276</v>
      </c>
      <c r="C110" s="158">
        <v>48</v>
      </c>
      <c r="D110" s="1214">
        <v>6</v>
      </c>
      <c r="E110" s="1215"/>
      <c r="F110" s="179"/>
      <c r="M110" s="192"/>
    </row>
    <row r="111" spans="1:13" ht="14.25" x14ac:dyDescent="0.2">
      <c r="A111" s="136" t="s">
        <v>16</v>
      </c>
      <c r="B111" s="491" t="s">
        <v>276</v>
      </c>
      <c r="C111" s="132">
        <v>6</v>
      </c>
      <c r="D111" s="122"/>
      <c r="M111" s="192"/>
    </row>
    <row r="112" spans="1:13" ht="14.25" x14ac:dyDescent="0.2">
      <c r="A112" s="204" t="s">
        <v>123</v>
      </c>
      <c r="B112" s="491" t="s">
        <v>276</v>
      </c>
      <c r="C112" s="157">
        <v>300</v>
      </c>
      <c r="D112" s="122"/>
      <c r="M112" s="192"/>
    </row>
    <row r="113" spans="1:13" x14ac:dyDescent="0.2">
      <c r="A113" s="136"/>
      <c r="B113" s="132"/>
      <c r="C113" s="132"/>
      <c r="D113" s="122"/>
      <c r="M113" s="192"/>
    </row>
    <row r="114" spans="1:13" x14ac:dyDescent="0.2">
      <c r="A114" s="191" t="s">
        <v>49</v>
      </c>
      <c r="B114" s="132"/>
      <c r="C114" s="132"/>
      <c r="D114" s="122"/>
      <c r="M114" s="192"/>
    </row>
    <row r="115" spans="1:13" ht="25.5" x14ac:dyDescent="0.2">
      <c r="A115" s="208" t="s">
        <v>50</v>
      </c>
      <c r="B115" s="491" t="s">
        <v>276</v>
      </c>
      <c r="C115" s="157">
        <v>60</v>
      </c>
      <c r="D115" s="122"/>
      <c r="M115" s="192"/>
    </row>
    <row r="116" spans="1:13" ht="25.5" x14ac:dyDescent="0.2">
      <c r="A116" s="208" t="s">
        <v>51</v>
      </c>
      <c r="B116" s="491" t="s">
        <v>276</v>
      </c>
      <c r="C116" s="132">
        <v>36</v>
      </c>
      <c r="D116" s="122"/>
      <c r="M116" s="192"/>
    </row>
    <row r="117" spans="1:13" ht="26.25" thickBot="1" x14ac:dyDescent="0.25">
      <c r="A117" s="209" t="s">
        <v>52</v>
      </c>
      <c r="B117" s="492" t="s">
        <v>276</v>
      </c>
      <c r="C117" s="172">
        <v>20</v>
      </c>
      <c r="D117" s="210"/>
      <c r="E117" s="47"/>
      <c r="F117" s="47"/>
      <c r="G117" s="211"/>
      <c r="H117" s="212"/>
      <c r="I117" s="211"/>
      <c r="J117" s="212"/>
      <c r="K117" s="211"/>
      <c r="L117" s="212"/>
      <c r="M117" s="112"/>
    </row>
  </sheetData>
  <sheetProtection password="C917" sheet="1" objects="1" scenarios="1" selectLockedCells="1" selectUnlockedCells="1"/>
  <mergeCells count="43">
    <mergeCell ref="D91:E91"/>
    <mergeCell ref="E102:F102"/>
    <mergeCell ref="D110:E110"/>
    <mergeCell ref="D106:E106"/>
    <mergeCell ref="D107:E107"/>
    <mergeCell ref="D108:E108"/>
    <mergeCell ref="D109:E109"/>
    <mergeCell ref="A7:A13"/>
    <mergeCell ref="G69:H69"/>
    <mergeCell ref="D50:E50"/>
    <mergeCell ref="D52:E52"/>
    <mergeCell ref="D53:E53"/>
    <mergeCell ref="D54:E54"/>
    <mergeCell ref="D55:E55"/>
    <mergeCell ref="G50:H50"/>
    <mergeCell ref="D51:E51"/>
    <mergeCell ref="G66:H66"/>
    <mergeCell ref="G68:H68"/>
    <mergeCell ref="G67:H67"/>
    <mergeCell ref="G55:H55"/>
    <mergeCell ref="G54:H54"/>
    <mergeCell ref="K75:M79"/>
    <mergeCell ref="I10:J10"/>
    <mergeCell ref="K10:L10"/>
    <mergeCell ref="I11:J11"/>
    <mergeCell ref="K11:L11"/>
    <mergeCell ref="M8:M12"/>
    <mergeCell ref="I9:J9"/>
    <mergeCell ref="I8:J8"/>
    <mergeCell ref="K1:N5"/>
    <mergeCell ref="G10:H10"/>
    <mergeCell ref="G51:H51"/>
    <mergeCell ref="G53:H53"/>
    <mergeCell ref="G52:H52"/>
    <mergeCell ref="K8:L8"/>
    <mergeCell ref="K9:L9"/>
    <mergeCell ref="B7:N7"/>
    <mergeCell ref="N8:N12"/>
    <mergeCell ref="D8:E8"/>
    <mergeCell ref="B8:B11"/>
    <mergeCell ref="D9:E9"/>
    <mergeCell ref="G8:H8"/>
    <mergeCell ref="G9:H9"/>
  </mergeCells>
  <phoneticPr fontId="0" type="noConversion"/>
  <pageMargins left="0.39370078740157483" right="0" top="0.35433070866141736" bottom="0.43307086614173229" header="0.23622047244094491" footer="0.19685039370078741"/>
  <pageSetup paperSize="9" scale="53" fitToHeight="2" orientation="landscape" r:id="rId1"/>
  <headerFooter alignWithMargins="0"/>
  <rowBreaks count="2" manualBreakCount="2">
    <brk id="67" max="16383" man="1"/>
    <brk id="70" max="16383" man="1"/>
  </rowBreaks>
  <colBreaks count="1" manualBreakCount="1">
    <brk id="6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11</vt:i4>
      </vt:variant>
    </vt:vector>
  </HeadingPairs>
  <TitlesOfParts>
    <vt:vector size="18" baseType="lpstr">
      <vt:lpstr>Adresse + Ergebnis </vt:lpstr>
      <vt:lpstr>Rindvieh, Schweine, Geflügel</vt:lpstr>
      <vt:lpstr>Diverse Tiere</vt:lpstr>
      <vt:lpstr>Hofdüngeranlagen</vt:lpstr>
      <vt:lpstr>Abwasser, Hofdüngerlager</vt:lpstr>
      <vt:lpstr>Abwasser landwirt. Nebenerwerb</vt:lpstr>
      <vt:lpstr>Grundlagen GRUD</vt:lpstr>
      <vt:lpstr>'Abwasser landwirt. Nebenerwerb'!Druckbereich</vt:lpstr>
      <vt:lpstr>'Abwasser, Hofdüngerlager'!Druckbereich</vt:lpstr>
      <vt:lpstr>'Adresse + Ergebnis '!Druckbereich</vt:lpstr>
      <vt:lpstr>'Diverse Tiere'!Druckbereich</vt:lpstr>
      <vt:lpstr>Hofdüngeranlagen!Druckbereich</vt:lpstr>
      <vt:lpstr>'Rindvieh, Schweine, Geflügel'!Druckbereich</vt:lpstr>
      <vt:lpstr>'Abwasser, Hofdüngerlager'!Print_Area</vt:lpstr>
      <vt:lpstr>'Adresse + Ergebnis '!Print_Area</vt:lpstr>
      <vt:lpstr>'Diverse Tiere'!Print_Area</vt:lpstr>
      <vt:lpstr>'Grundlagen GRUD'!Print_Area</vt:lpstr>
      <vt:lpstr>'Rindvieh, Schweine, Geflügel'!Print_Area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Tanner LWAG;stefan.gebert@ag.ch</dc:creator>
  <cp:lastModifiedBy>Schmutz, Anna BUD</cp:lastModifiedBy>
  <cp:lastPrinted>2021-06-24T07:38:14Z</cp:lastPrinted>
  <dcterms:created xsi:type="dcterms:W3CDTF">1999-10-12T13:55:10Z</dcterms:created>
  <dcterms:modified xsi:type="dcterms:W3CDTF">2023-02-21T07:47:15Z</dcterms:modified>
</cp:coreProperties>
</file>